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bc-fs01\DATA\PROJECTS\01221291.00\Task 5_Report\"/>
    </mc:Choice>
  </mc:AlternateContent>
  <bookViews>
    <workbookView xWindow="0" yWindow="0" windowWidth="28800" windowHeight="11985"/>
  </bookViews>
  <sheets>
    <sheet name="Summary" sheetId="11" r:id="rId1"/>
    <sheet name="Santa Clara Small Facilities" sheetId="19" r:id="rId2"/>
    <sheet name="Alameda" sheetId="10" r:id="rId3"/>
    <sheet name="Contra Costa" sheetId="12" r:id="rId4"/>
    <sheet name="Fresno" sheetId="3" r:id="rId5"/>
    <sheet name="Kings" sheetId="8" r:id="rId6"/>
    <sheet name="Marin" sheetId="13" r:id="rId7"/>
    <sheet name="Merced" sheetId="4" r:id="rId8"/>
    <sheet name="Monterey" sheetId="2" r:id="rId9"/>
    <sheet name="Napa" sheetId="14" r:id="rId10"/>
    <sheet name="San Benito" sheetId="1" r:id="rId11"/>
    <sheet name="San Francisco" sheetId="15" r:id="rId12"/>
    <sheet name="San Joaquin" sheetId="16" r:id="rId13"/>
    <sheet name="San Mateo" sheetId="9" r:id="rId14"/>
    <sheet name="Santa Cruz" sheetId="6" r:id="rId15"/>
    <sheet name="Sonoma" sheetId="17" r:id="rId16"/>
    <sheet name="Stanislaus" sheetId="7" r:id="rId17"/>
  </sheets>
  <definedNames>
    <definedName name="_xlnm._FilterDatabase" localSheetId="2" hidden="1">Alameda!$A$1:$S$10</definedName>
    <definedName name="_xlnm._FilterDatabase" localSheetId="4" hidden="1">Fresno!$A$1:$S$7</definedName>
    <definedName name="_xlnm._FilterDatabase" localSheetId="5" hidden="1">Kings!$A$1:$S$1</definedName>
    <definedName name="_xlnm._FilterDatabase" localSheetId="7" hidden="1">Merced!$A$1:$S$14</definedName>
    <definedName name="_xlnm._FilterDatabase" localSheetId="8" hidden="1">Monterey!$A$1:$S$13</definedName>
    <definedName name="_xlnm._FilterDatabase" localSheetId="10" hidden="1">'San Benito'!$A$1:$T$7</definedName>
    <definedName name="_xlnm._FilterDatabase" localSheetId="13" hidden="1">'San Mateo'!$A$1:$S$7</definedName>
    <definedName name="_xlnm._FilterDatabase" localSheetId="14" hidden="1">'Santa Cruz'!$A$1:$S$6</definedName>
    <definedName name="_xlnm._FilterDatabase" localSheetId="16" hidden="1">Stanislaus!$A$1:$S$12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9" l="1"/>
  <c r="H16" i="19"/>
  <c r="I14" i="19"/>
  <c r="H14" i="19"/>
  <c r="I13" i="19"/>
  <c r="H13" i="19"/>
  <c r="L12" i="19"/>
  <c r="Q12" i="19"/>
  <c r="H15" i="19" l="1"/>
  <c r="H17" i="19" s="1"/>
  <c r="I15" i="19"/>
  <c r="I17" i="19" s="1"/>
  <c r="J18" i="19" l="1"/>
  <c r="O31" i="11"/>
  <c r="O24" i="11"/>
  <c r="O23" i="11"/>
  <c r="O21" i="11"/>
  <c r="L24" i="11"/>
  <c r="L23" i="11"/>
  <c r="L21" i="11"/>
  <c r="K24" i="11"/>
  <c r="K21" i="11"/>
  <c r="K23" i="11"/>
  <c r="L31" i="11"/>
  <c r="K31" i="11"/>
  <c r="I31" i="11"/>
  <c r="I24" i="11"/>
  <c r="I23" i="11"/>
  <c r="I21" i="11"/>
  <c r="P15" i="11" l="1"/>
  <c r="O15" i="11"/>
  <c r="N15" i="11"/>
  <c r="M15" i="11"/>
  <c r="L15" i="11"/>
  <c r="K15" i="11"/>
  <c r="I15" i="11"/>
  <c r="H15" i="11"/>
  <c r="G15" i="11"/>
  <c r="F15" i="11"/>
  <c r="E15" i="11"/>
  <c r="D15" i="11"/>
  <c r="C15" i="11"/>
  <c r="B15" i="11"/>
  <c r="F24" i="11"/>
  <c r="F23" i="11"/>
  <c r="F21" i="11"/>
  <c r="F31" i="11"/>
  <c r="C31" i="11"/>
  <c r="C24" i="11"/>
  <c r="C23" i="11"/>
  <c r="C21" i="11"/>
  <c r="N11" i="14" l="1"/>
  <c r="Q9" i="17" l="1"/>
  <c r="L9" i="17"/>
  <c r="J14" i="17"/>
  <c r="J12" i="17"/>
  <c r="I14" i="17"/>
  <c r="I12" i="17"/>
  <c r="Q11" i="16"/>
  <c r="L11" i="16"/>
  <c r="J16" i="16"/>
  <c r="J15" i="16"/>
  <c r="J14" i="16"/>
  <c r="I16" i="16"/>
  <c r="I15" i="16"/>
  <c r="I14" i="16"/>
  <c r="Q4" i="15"/>
  <c r="L4" i="15"/>
  <c r="J7" i="15"/>
  <c r="J10" i="15" s="1"/>
  <c r="I7" i="15"/>
  <c r="I10" i="15" s="1"/>
  <c r="Q8" i="14"/>
  <c r="L8" i="14"/>
  <c r="J12" i="14"/>
  <c r="J11" i="14"/>
  <c r="I12" i="14"/>
  <c r="I11" i="14"/>
  <c r="L6" i="13"/>
  <c r="Q6" i="13"/>
  <c r="J10" i="13"/>
  <c r="J9" i="13"/>
  <c r="I10" i="13"/>
  <c r="I9" i="13"/>
  <c r="Q11" i="12"/>
  <c r="L11" i="12"/>
  <c r="J14" i="12"/>
  <c r="I15" i="12"/>
  <c r="I14" i="12"/>
  <c r="J8" i="13"/>
  <c r="J16" i="12"/>
  <c r="I16" i="12"/>
  <c r="J13" i="12"/>
  <c r="I17" i="16" l="1"/>
  <c r="J15" i="17"/>
  <c r="I15" i="17"/>
  <c r="J17" i="16"/>
  <c r="J14" i="14"/>
  <c r="I14" i="14"/>
  <c r="J12" i="13"/>
  <c r="I12" i="13"/>
  <c r="J17" i="12"/>
  <c r="I17" i="12"/>
  <c r="K11" i="15"/>
  <c r="J31" i="11"/>
  <c r="J24" i="11"/>
  <c r="J23" i="11"/>
  <c r="J21" i="11"/>
  <c r="J13" i="11"/>
  <c r="J8" i="11"/>
  <c r="J7" i="11"/>
  <c r="J15" i="11" l="1"/>
  <c r="K18" i="16"/>
  <c r="K16" i="17"/>
  <c r="K15" i="14"/>
  <c r="K13" i="13"/>
  <c r="K18" i="12"/>
  <c r="Q26" i="11"/>
  <c r="M31" i="11"/>
  <c r="H31" i="11"/>
  <c r="G31" i="11"/>
  <c r="D31" i="11"/>
  <c r="B31" i="11"/>
  <c r="P31" i="11"/>
  <c r="L10" i="1" l="1"/>
  <c r="Q8" i="1"/>
  <c r="D21" i="11"/>
  <c r="E21" i="11"/>
  <c r="J12" i="3"/>
  <c r="Q9" i="3"/>
  <c r="Q5" i="8"/>
  <c r="J17" i="2"/>
  <c r="J16" i="2"/>
  <c r="I10" i="6"/>
  <c r="J11" i="3"/>
  <c r="I11" i="3"/>
  <c r="L4" i="8"/>
  <c r="J20" i="4"/>
  <c r="I20" i="4"/>
  <c r="J18" i="2"/>
  <c r="I18" i="2"/>
  <c r="I17" i="2"/>
  <c r="I16" i="2"/>
  <c r="I13" i="9"/>
  <c r="H13" i="9"/>
  <c r="H10" i="6"/>
  <c r="H19" i="7"/>
  <c r="J13" i="3"/>
  <c r="I16" i="7"/>
  <c r="H17" i="7"/>
  <c r="H16" i="7"/>
  <c r="H15" i="7"/>
  <c r="I12" i="6"/>
  <c r="H12" i="6"/>
  <c r="I11" i="9"/>
  <c r="I10" i="9"/>
  <c r="H10" i="9"/>
  <c r="H14" i="9" s="1"/>
  <c r="H12" i="9"/>
  <c r="H11" i="9"/>
  <c r="J8" i="8"/>
  <c r="J10" i="8" s="1"/>
  <c r="E23" i="11" s="1"/>
  <c r="J10" i="1"/>
  <c r="H13" i="6" l="1"/>
  <c r="I13" i="6"/>
  <c r="N23" i="11" s="1"/>
  <c r="J14" i="3"/>
  <c r="J20" i="2"/>
  <c r="J14" i="6" l="1"/>
  <c r="D23" i="11"/>
  <c r="H23" i="11"/>
  <c r="I10" i="1" l="1"/>
  <c r="I19" i="2" l="1"/>
  <c r="I20" i="2" s="1"/>
  <c r="K21" i="2" s="1"/>
  <c r="I18" i="4"/>
  <c r="I21" i="4" s="1"/>
  <c r="I8" i="8"/>
  <c r="I10" i="8" s="1"/>
  <c r="K11" i="8" s="1"/>
  <c r="I13" i="3"/>
  <c r="I12" i="3"/>
  <c r="I10" i="3"/>
  <c r="I14" i="3" s="1"/>
  <c r="K15" i="3" s="1"/>
  <c r="J12" i="10"/>
  <c r="I12" i="10"/>
  <c r="I15" i="10"/>
  <c r="I14" i="10"/>
  <c r="I13" i="10"/>
  <c r="J12" i="1"/>
  <c r="J13" i="1" s="1"/>
  <c r="I12" i="1"/>
  <c r="I13" i="1" s="1"/>
  <c r="K14" i="1" s="1"/>
  <c r="L7" i="6"/>
  <c r="N24" i="11" s="1"/>
  <c r="L8" i="9"/>
  <c r="M24" i="11" s="1"/>
  <c r="L14" i="2"/>
  <c r="H24" i="11" s="1"/>
  <c r="L15" i="4"/>
  <c r="G24" i="11" s="1"/>
  <c r="E24" i="11"/>
  <c r="L8" i="3"/>
  <c r="D24" i="11" s="1"/>
  <c r="L12" i="10"/>
  <c r="B24" i="11" s="1"/>
  <c r="I16" i="10" l="1"/>
  <c r="N30" i="11"/>
  <c r="N31" i="11" s="1"/>
  <c r="E30" i="11"/>
  <c r="E31" i="11" s="1"/>
  <c r="Q27" i="11"/>
  <c r="Q28" i="11"/>
  <c r="Q29" i="11"/>
  <c r="Q9" i="11"/>
  <c r="Q10" i="11"/>
  <c r="Q11" i="11"/>
  <c r="Q12" i="11"/>
  <c r="Q14" i="11"/>
  <c r="Q6" i="11"/>
  <c r="Q5" i="11"/>
  <c r="Q42" i="11"/>
  <c r="Q38" i="11"/>
  <c r="Q39" i="11"/>
  <c r="Q40" i="11"/>
  <c r="Q41" i="11"/>
  <c r="Q37" i="11"/>
  <c r="Q36" i="11"/>
  <c r="N22" i="11"/>
  <c r="D22" i="11"/>
  <c r="N21" i="11"/>
  <c r="Q9" i="7"/>
  <c r="Q22" i="11" l="1"/>
  <c r="Q3" i="9" l="1"/>
  <c r="Q6" i="10"/>
  <c r="J15" i="10" s="1"/>
  <c r="Q9" i="9" l="1"/>
  <c r="I12" i="9"/>
  <c r="I14" i="9" s="1"/>
  <c r="M21" i="11"/>
  <c r="M23" i="11" l="1"/>
  <c r="J15" i="9"/>
  <c r="Q9" i="2"/>
  <c r="N5" i="4"/>
  <c r="N6" i="4"/>
  <c r="H21" i="11" l="1"/>
  <c r="Q15" i="2"/>
  <c r="N4" i="10"/>
  <c r="Q4" i="10" s="1"/>
  <c r="L13" i="7"/>
  <c r="N6" i="7"/>
  <c r="Q6" i="7" s="1"/>
  <c r="I17" i="7" s="1"/>
  <c r="I19" i="7" s="1"/>
  <c r="P23" i="11" l="1"/>
  <c r="J20" i="7"/>
  <c r="Q13" i="7"/>
  <c r="P24" i="11"/>
  <c r="Q24" i="11" s="1"/>
  <c r="P21" i="11"/>
  <c r="N9" i="4"/>
  <c r="Q10" i="4"/>
  <c r="Q7" i="10"/>
  <c r="J13" i="10" s="1"/>
  <c r="Q3" i="10"/>
  <c r="Q12" i="10" l="1"/>
  <c r="B21" i="11"/>
  <c r="J16" i="10"/>
  <c r="J18" i="4"/>
  <c r="J21" i="4" s="1"/>
  <c r="Q15" i="4"/>
  <c r="G21" i="11"/>
  <c r="J14" i="10"/>
  <c r="Q8" i="11"/>
  <c r="Q7" i="11"/>
  <c r="Q13" i="11"/>
  <c r="G23" i="11" l="1"/>
  <c r="K22" i="4"/>
  <c r="B23" i="11"/>
  <c r="K17" i="10"/>
  <c r="Q15" i="11"/>
  <c r="Q21" i="11"/>
  <c r="Q30" i="11"/>
  <c r="Q31" i="11" s="1"/>
  <c r="Q23" i="11" l="1"/>
</calcChain>
</file>

<file path=xl/comments1.xml><?xml version="1.0" encoding="utf-8"?>
<comments xmlns="http://schemas.openxmlformats.org/spreadsheetml/2006/main">
  <authors>
    <author>Bills, Tracie</author>
  </authors>
  <commentList>
    <comment ref="H22" authorId="0" shapeId="0">
      <text>
        <r>
          <rPr>
            <b/>
            <sz val="9"/>
            <color indexed="81"/>
            <rFont val="Tahoma"/>
            <family val="2"/>
          </rPr>
          <t>Bills, Tracie:</t>
        </r>
        <r>
          <rPr>
            <sz val="9"/>
            <color indexed="81"/>
            <rFont val="Tahoma"/>
            <family val="2"/>
          </rPr>
          <t xml:space="preserve">
Keith Day has 45,000 TPY of available capacity that will be coming soon</t>
        </r>
      </text>
    </comment>
  </commentList>
</comments>
</file>

<file path=xl/comments10.xml><?xml version="1.0" encoding="utf-8"?>
<comments xmlns="http://schemas.openxmlformats.org/spreadsheetml/2006/main">
  <authors>
    <author>Abraham, Reka</author>
  </authors>
  <commentList>
    <comment ref="L2" authorId="0" shapeId="0">
      <text>
        <r>
          <rPr>
            <b/>
            <sz val="9"/>
            <color indexed="81"/>
            <rFont val="Tahoma"/>
            <family val="2"/>
          </rPr>
          <t>Abraham, Reka:</t>
        </r>
        <r>
          <rPr>
            <sz val="9"/>
            <color indexed="81"/>
            <rFont val="Tahoma"/>
            <family val="2"/>
          </rPr>
          <t xml:space="preserve">
400 tons per day, open 360 days/yr (from website)
400*360=144,000 tons/year</t>
        </r>
      </text>
    </comment>
    <comment ref="L4" authorId="0" shapeId="0">
      <text>
        <r>
          <rPr>
            <b/>
            <sz val="9"/>
            <color indexed="81"/>
            <rFont val="Tahoma"/>
            <family val="2"/>
          </rPr>
          <t>Abraham, Reka:</t>
        </r>
        <r>
          <rPr>
            <sz val="9"/>
            <color indexed="81"/>
            <rFont val="Tahoma"/>
            <family val="2"/>
          </rPr>
          <t xml:space="preserve">
250cubic yards of greenwaste per ton
2,000 cubic yards/not listed, assume annual)*(250/2000)=250 tons per year
</t>
        </r>
      </text>
    </comment>
    <comment ref="L5" authorId="0" shapeId="0">
      <text>
        <r>
          <rPr>
            <b/>
            <sz val="9"/>
            <color indexed="81"/>
            <rFont val="Tahoma"/>
            <family val="2"/>
          </rPr>
          <t>Abraham, Reka:</t>
        </r>
        <r>
          <rPr>
            <sz val="9"/>
            <color indexed="81"/>
            <rFont val="Tahoma"/>
            <family val="2"/>
          </rPr>
          <t xml:space="preserve">
250cubic yards of greenwaste per ton
1000 cubic yards/year annual)*(250/2000)=125 tons per year</t>
        </r>
      </text>
    </comment>
  </commentList>
</comments>
</file>

<file path=xl/comments11.xml><?xml version="1.0" encoding="utf-8"?>
<comments xmlns="http://schemas.openxmlformats.org/spreadsheetml/2006/main">
  <authors>
    <author>Purington, Elizabeth</author>
    <author>Moreno, Fernando</author>
  </authors>
  <commentList>
    <comment ref="J3" authorId="0" shapeId="0">
      <text>
        <r>
          <rPr>
            <b/>
            <sz val="9"/>
            <color indexed="81"/>
            <rFont val="Tahoma"/>
            <family val="2"/>
          </rPr>
          <t>Purington, Elizabeth:</t>
        </r>
        <r>
          <rPr>
            <sz val="9"/>
            <color indexed="81"/>
            <rFont val="Tahoma"/>
            <family val="2"/>
          </rPr>
          <t xml:space="preserve">
Listed as tons not CY in EA notification</t>
        </r>
      </text>
    </comment>
    <comment ref="K3" authorId="1" shapeId="0">
      <text>
        <r>
          <rPr>
            <b/>
            <sz val="9"/>
            <color indexed="81"/>
            <rFont val="Tahoma"/>
            <family val="2"/>
          </rPr>
          <t>Moreno, Fernando:</t>
        </r>
        <r>
          <rPr>
            <sz val="9"/>
            <color indexed="81"/>
            <rFont val="Tahoma"/>
            <family val="2"/>
          </rPr>
          <t xml:space="preserve">
Open 5 days a week. 52 weeks a year=260 days a year. (</t>
        </r>
        <r>
          <rPr>
            <b/>
            <sz val="9"/>
            <color indexed="81"/>
            <rFont val="Tahoma"/>
            <family val="2"/>
          </rPr>
          <t>200tons/day</t>
        </r>
        <r>
          <rPr>
            <sz val="9"/>
            <color indexed="81"/>
            <rFont val="Tahoma"/>
            <family val="2"/>
          </rPr>
          <t>)*(260days/year)= 52,000 tons/year</t>
        </r>
      </text>
    </comment>
    <comment ref="K5" authorId="1" shapeId="0">
      <text>
        <r>
          <rPr>
            <b/>
            <sz val="9"/>
            <color indexed="81"/>
            <rFont val="Tahoma"/>
            <family val="2"/>
          </rPr>
          <t>Moreno, Fernando:</t>
        </r>
        <r>
          <rPr>
            <sz val="9"/>
            <color indexed="81"/>
            <rFont val="Tahoma"/>
            <family val="2"/>
          </rPr>
          <t xml:space="preserve">
operates 5 days a week, 52 weeks a year=260 days a year. (</t>
        </r>
        <r>
          <rPr>
            <b/>
            <sz val="9"/>
            <color indexed="81"/>
            <rFont val="Tahoma"/>
            <family val="2"/>
          </rPr>
          <t>20cubic yards/day</t>
        </r>
        <r>
          <rPr>
            <sz val="9"/>
            <color indexed="81"/>
            <rFont val="Tahoma"/>
            <family val="2"/>
          </rPr>
          <t>)(260days)=5200cubicyards/year. 5200*(250/2000)=650tons</t>
        </r>
      </text>
    </comment>
    <comment ref="M5" authorId="1" shapeId="0">
      <text>
        <r>
          <rPr>
            <b/>
            <sz val="9"/>
            <color indexed="81"/>
            <rFont val="Tahoma"/>
            <family val="2"/>
          </rPr>
          <t>Moreno, Fernando:</t>
        </r>
        <r>
          <rPr>
            <sz val="9"/>
            <color indexed="81"/>
            <rFont val="Tahoma"/>
            <family val="2"/>
          </rPr>
          <t xml:space="preserve">
250 cubic yards green waste per ton. 
(150 cubic yards/year)*(250/2000)=(18.75 tons/year)</t>
        </r>
      </text>
    </comment>
    <comment ref="K6" authorId="1" shapeId="0">
      <text>
        <r>
          <rPr>
            <b/>
            <sz val="9"/>
            <color indexed="81"/>
            <rFont val="Tahoma"/>
            <family val="2"/>
          </rPr>
          <t>Moreno, Fernando:</t>
        </r>
        <r>
          <rPr>
            <sz val="9"/>
            <color indexed="81"/>
            <rFont val="Tahoma"/>
            <family val="2"/>
          </rPr>
          <t xml:space="preserve">
Assuming 5 days of week service
260 days a year
</t>
        </r>
        <r>
          <rPr>
            <b/>
            <sz val="9"/>
            <color indexed="81"/>
            <rFont val="Tahoma"/>
            <family val="2"/>
          </rPr>
          <t>50 tons/da</t>
        </r>
        <r>
          <rPr>
            <sz val="9"/>
            <color indexed="81"/>
            <rFont val="Tahoma"/>
            <family val="2"/>
          </rPr>
          <t>y*260 days=13000tons/year</t>
        </r>
      </text>
    </comment>
    <comment ref="K7" authorId="1" shapeId="0">
      <text>
        <r>
          <rPr>
            <b/>
            <sz val="9"/>
            <color indexed="81"/>
            <rFont val="Tahoma"/>
            <family val="2"/>
          </rPr>
          <t>Moreno, Fernando:</t>
        </r>
        <r>
          <rPr>
            <sz val="9"/>
            <color indexed="81"/>
            <rFont val="Tahoma"/>
            <family val="2"/>
          </rPr>
          <t xml:space="preserve">
assuming 5 days of week
260 days a year
260 days*</t>
        </r>
        <r>
          <rPr>
            <b/>
            <sz val="9"/>
            <color indexed="81"/>
            <rFont val="Tahoma"/>
            <family val="2"/>
          </rPr>
          <t>680tons/day=</t>
        </r>
        <r>
          <rPr>
            <sz val="9"/>
            <color indexed="81"/>
            <rFont val="Tahoma"/>
            <family val="2"/>
          </rPr>
          <t>176,800tons/year</t>
        </r>
      </text>
    </comment>
  </commentList>
</comments>
</file>

<file path=xl/comments12.xml><?xml version="1.0" encoding="utf-8"?>
<comments xmlns="http://schemas.openxmlformats.org/spreadsheetml/2006/main">
  <authors>
    <author>Bills, Tracie</author>
  </authors>
  <commentList>
    <comment ref="L2" authorId="0" shapeId="0">
      <text>
        <r>
          <rPr>
            <b/>
            <sz val="9"/>
            <color indexed="81"/>
            <rFont val="Tahoma"/>
            <family val="2"/>
          </rPr>
          <t>Bills, Tracie:</t>
        </r>
        <r>
          <rPr>
            <sz val="9"/>
            <color indexed="81"/>
            <rFont val="Tahoma"/>
            <family val="2"/>
          </rPr>
          <t xml:space="preserve">
250 cubic yards of greenwaste per ton
12,500 cubic yards/year annual (not listed assume annual)*(250/2000)= 1,563 tons per year </t>
        </r>
      </text>
    </comment>
    <comment ref="L3" authorId="0" shapeId="0">
      <text>
        <r>
          <rPr>
            <b/>
            <sz val="9"/>
            <color indexed="81"/>
            <rFont val="Tahoma"/>
            <family val="2"/>
          </rPr>
          <t>Bills, Tracie:</t>
        </r>
        <r>
          <rPr>
            <sz val="9"/>
            <color indexed="81"/>
            <rFont val="Tahoma"/>
            <family val="2"/>
          </rPr>
          <t xml:space="preserve">
4,180 tons per day, assume 5 days a week, 312 days * 4,180 =1,304,160
This seems really high? But confirmed on SWIS. Used the actual annual through put which is 100,000
</t>
        </r>
      </text>
    </comment>
    <comment ref="L4" authorId="0" shapeId="0">
      <text>
        <r>
          <rPr>
            <b/>
            <sz val="9"/>
            <color indexed="81"/>
            <rFont val="Tahoma"/>
            <family val="2"/>
          </rPr>
          <t>Bills, Tracie:</t>
        </r>
        <r>
          <rPr>
            <sz val="9"/>
            <color indexed="81"/>
            <rFont val="Tahoma"/>
            <family val="2"/>
          </rPr>
          <t xml:space="preserve">
250 cubic yards of greenwaste per ton
7040 cubic yards per year *(250/2000)=880 tons per year</t>
        </r>
      </text>
    </comment>
    <comment ref="L5" authorId="0" shapeId="0">
      <text>
        <r>
          <rPr>
            <b/>
            <sz val="9"/>
            <color indexed="81"/>
            <rFont val="Tahoma"/>
            <family val="2"/>
          </rPr>
          <t>Bills, Tracie:</t>
        </r>
        <r>
          <rPr>
            <sz val="9"/>
            <color indexed="81"/>
            <rFont val="Tahoma"/>
            <family val="2"/>
          </rPr>
          <t xml:space="preserve">
250 cubic yards of greenwaste per ton
68700 cubic yards per year *(250/2000)=8,588 tons per year</t>
        </r>
      </text>
    </comment>
    <comment ref="L6" authorId="0" shapeId="0">
      <text>
        <r>
          <rPr>
            <b/>
            <sz val="9"/>
            <color indexed="81"/>
            <rFont val="Tahoma"/>
            <family val="2"/>
          </rPr>
          <t>Bills, Tracie:</t>
        </r>
        <r>
          <rPr>
            <sz val="9"/>
            <color indexed="81"/>
            <rFont val="Tahoma"/>
            <family val="2"/>
          </rPr>
          <t xml:space="preserve">
250cubic yards of greenwaste per ton
40,000 cubic yards/year annual)*(250/2000)=5,000 tons per year</t>
        </r>
      </text>
    </comment>
    <comment ref="L8" authorId="0" shapeId="0">
      <text>
        <r>
          <rPr>
            <b/>
            <sz val="9"/>
            <color indexed="81"/>
            <rFont val="Tahoma"/>
            <family val="2"/>
          </rPr>
          <t>Bills, Tracie:</t>
        </r>
        <r>
          <rPr>
            <sz val="9"/>
            <color indexed="81"/>
            <rFont val="Tahoma"/>
            <family val="2"/>
          </rPr>
          <t xml:space="preserve">
250cubic yards of greenwaste per ton
100,000 cubic yards (assuming per year)*(250/2000)=12,500 tons per year</t>
        </r>
      </text>
    </comment>
    <comment ref="L10" authorId="0" shapeId="0">
      <text>
        <r>
          <rPr>
            <b/>
            <sz val="9"/>
            <color indexed="81"/>
            <rFont val="Tahoma"/>
            <family val="2"/>
          </rPr>
          <t>Bills, Tracie:</t>
        </r>
        <r>
          <rPr>
            <sz val="9"/>
            <color indexed="81"/>
            <rFont val="Tahoma"/>
            <family val="2"/>
          </rPr>
          <t xml:space="preserve">
250 cubic yards of greenwaste per ton
37,500 cubic yards/year annual)*(250/2000)=4,688 tons per year</t>
        </r>
      </text>
    </comment>
  </commentList>
</comments>
</file>

<file path=xl/comments13.xml><?xml version="1.0" encoding="utf-8"?>
<comments xmlns="http://schemas.openxmlformats.org/spreadsheetml/2006/main">
  <authors>
    <author>Moreno, Fernando</author>
    <author>Purington, Elizabeth</author>
    <author>Bills, Tracie</author>
  </authors>
  <commentList>
    <comment ref="K2" authorId="0" shapeId="0">
      <text>
        <r>
          <rPr>
            <b/>
            <sz val="9"/>
            <color indexed="81"/>
            <rFont val="Tahoma"/>
            <family val="2"/>
          </rPr>
          <t>Moreno, Fernando:</t>
        </r>
        <r>
          <rPr>
            <sz val="9"/>
            <color indexed="81"/>
            <rFont val="Tahoma"/>
            <family val="2"/>
          </rPr>
          <t xml:space="preserve">
250 cubic yards of greenwaste per ton
assuming 5 days of week operation
260 days a year
70cubic yards*260=18,200 cubic yards per year*(250/2000)=
</t>
        </r>
      </text>
    </comment>
    <comment ref="M2" authorId="0" shapeId="0">
      <text>
        <r>
          <rPr>
            <b/>
            <sz val="9"/>
            <color indexed="81"/>
            <rFont val="Tahoma"/>
            <family val="2"/>
          </rPr>
          <t>Moreno, Fernando:</t>
        </r>
        <r>
          <rPr>
            <sz val="9"/>
            <color indexed="81"/>
            <rFont val="Tahoma"/>
            <family val="2"/>
          </rPr>
          <t xml:space="preserve">
250 cubic yards of greenwaste per ton
21350cubic yards per year*(250/2000)=2668</t>
        </r>
      </text>
    </comment>
    <comment ref="J3" authorId="1" shapeId="0">
      <text>
        <r>
          <rPr>
            <b/>
            <sz val="9"/>
            <color indexed="81"/>
            <rFont val="Tahoma"/>
            <family val="2"/>
          </rPr>
          <t>Purington, Elizabeth:</t>
        </r>
        <r>
          <rPr>
            <sz val="9"/>
            <color indexed="81"/>
            <rFont val="Tahoma"/>
            <family val="2"/>
          </rPr>
          <t xml:space="preserve">
Based on SWFP, not SWIS</t>
        </r>
      </text>
    </comment>
    <comment ref="M3" authorId="0" shapeId="0">
      <text>
        <r>
          <rPr>
            <b/>
            <sz val="9"/>
            <color indexed="81"/>
            <rFont val="Tahoma"/>
            <family val="2"/>
          </rPr>
          <t>Moreno, Fernando:</t>
        </r>
        <r>
          <rPr>
            <sz val="9"/>
            <color indexed="81"/>
            <rFont val="Tahoma"/>
            <family val="2"/>
          </rPr>
          <t xml:space="preserve">
operates 6 days a week
312 days a year
</t>
        </r>
        <r>
          <rPr>
            <b/>
            <sz val="9"/>
            <color indexed="81"/>
            <rFont val="Tahoma"/>
            <family val="2"/>
          </rPr>
          <t>(43tons/day</t>
        </r>
        <r>
          <rPr>
            <sz val="9"/>
            <color indexed="81"/>
            <rFont val="Tahoma"/>
            <family val="2"/>
          </rPr>
          <t>)*(312)days)=13,416tons</t>
        </r>
      </text>
    </comment>
    <comment ref="K4" authorId="0" shapeId="0">
      <text>
        <r>
          <rPr>
            <b/>
            <sz val="9"/>
            <color indexed="81"/>
            <rFont val="Tahoma"/>
            <family val="2"/>
          </rPr>
          <t>Moreno, Fernando:</t>
        </r>
        <r>
          <rPr>
            <sz val="9"/>
            <color indexed="81"/>
            <rFont val="Tahoma"/>
            <family val="2"/>
          </rPr>
          <t xml:space="preserve">
</t>
        </r>
        <r>
          <rPr>
            <b/>
            <sz val="9"/>
            <color indexed="81"/>
            <rFont val="Tahoma"/>
            <family val="2"/>
          </rPr>
          <t xml:space="preserve">175cubic yards/day
</t>
        </r>
        <r>
          <rPr>
            <sz val="9"/>
            <color indexed="81"/>
            <rFont val="Tahoma"/>
            <family val="2"/>
          </rPr>
          <t>250cubicyards per ton
assuming 5 days a week operation
260days a year
(175cyds/day)*260days=45,500cubic yards/year*(250/2000)
Will use permitted capacity</t>
        </r>
      </text>
    </comment>
    <comment ref="M4" authorId="0" shapeId="0">
      <text>
        <r>
          <rPr>
            <b/>
            <sz val="9"/>
            <color indexed="81"/>
            <rFont val="Tahoma"/>
            <family val="2"/>
          </rPr>
          <t>Moreno, Fernando:</t>
        </r>
        <r>
          <rPr>
            <sz val="9"/>
            <color indexed="81"/>
            <rFont val="Tahoma"/>
            <family val="2"/>
          </rPr>
          <t xml:space="preserve">
</t>
        </r>
        <r>
          <rPr>
            <b/>
            <sz val="9"/>
            <color indexed="81"/>
            <rFont val="Tahoma"/>
            <family val="2"/>
          </rPr>
          <t>16000cubic yards/year</t>
        </r>
        <r>
          <rPr>
            <sz val="9"/>
            <color indexed="81"/>
            <rFont val="Tahoma"/>
            <family val="2"/>
          </rPr>
          <t xml:space="preserve">
16000*(250/2000)=2000</t>
        </r>
      </text>
    </comment>
    <comment ref="K5" authorId="0" shapeId="0">
      <text>
        <r>
          <rPr>
            <sz val="9"/>
            <color indexed="81"/>
            <rFont val="Tahoma"/>
            <family val="2"/>
          </rPr>
          <t xml:space="preserve">
</t>
        </r>
        <r>
          <rPr>
            <b/>
            <sz val="9"/>
            <color indexed="81"/>
            <rFont val="Tahoma"/>
            <family val="2"/>
          </rPr>
          <t>200tons/day</t>
        </r>
        <r>
          <rPr>
            <sz val="9"/>
            <color indexed="81"/>
            <rFont val="Tahoma"/>
            <family val="2"/>
          </rPr>
          <t>*260 days/year=
52,000. Will use permitted capacity</t>
        </r>
      </text>
    </comment>
    <comment ref="K6" authorId="0" shapeId="0">
      <text>
        <r>
          <rPr>
            <b/>
            <sz val="9"/>
            <color indexed="81"/>
            <rFont val="Tahoma"/>
            <family val="2"/>
          </rPr>
          <t>Moreno, Fernando:</t>
        </r>
        <r>
          <rPr>
            <sz val="9"/>
            <color indexed="81"/>
            <rFont val="Tahoma"/>
            <family val="2"/>
          </rPr>
          <t xml:space="preserve">
Operates 5 days a week
52 weeks a year=260 days 
(</t>
        </r>
        <r>
          <rPr>
            <b/>
            <sz val="9"/>
            <color indexed="81"/>
            <rFont val="Tahoma"/>
            <family val="2"/>
          </rPr>
          <t>20tons/day)</t>
        </r>
        <r>
          <rPr>
            <sz val="9"/>
            <color indexed="81"/>
            <rFont val="Tahoma"/>
            <family val="2"/>
          </rPr>
          <t>*260 days=5,200tons/year</t>
        </r>
      </text>
    </comment>
    <comment ref="K7" authorId="2" shapeId="0">
      <text>
        <r>
          <rPr>
            <b/>
            <sz val="9"/>
            <color indexed="81"/>
            <rFont val="Tahoma"/>
            <family val="2"/>
          </rPr>
          <t>Bills, Tracie:</t>
        </r>
        <r>
          <rPr>
            <sz val="9"/>
            <color indexed="81"/>
            <rFont val="Tahoma"/>
            <family val="2"/>
          </rPr>
          <t xml:space="preserve">
6,000 cubic yards / year. 6,000 * 250 / 2,000 = 2,669 tons</t>
        </r>
      </text>
    </comment>
    <comment ref="M7" authorId="2" shapeId="0">
      <text>
        <r>
          <rPr>
            <b/>
            <sz val="9"/>
            <color indexed="81"/>
            <rFont val="Tahoma"/>
            <family val="2"/>
          </rPr>
          <t>Bills, Tracie:</t>
        </r>
        <r>
          <rPr>
            <sz val="9"/>
            <color indexed="81"/>
            <rFont val="Tahoma"/>
            <family val="2"/>
          </rPr>
          <t xml:space="preserve">
6,000 cubic yards / year. 6,000 * 250 / 2,000 = 750 tons</t>
        </r>
      </text>
    </comment>
  </commentList>
</comments>
</file>

<file path=xl/comments14.xml><?xml version="1.0" encoding="utf-8"?>
<comments xmlns="http://schemas.openxmlformats.org/spreadsheetml/2006/main">
  <authors>
    <author>Purington, Elizabeth</author>
    <author>Moreno, Fernando</author>
    <author>Bills, Tracie</author>
  </authors>
  <commentList>
    <comment ref="J2" authorId="0" shapeId="0">
      <text>
        <r>
          <rPr>
            <b/>
            <sz val="9"/>
            <color indexed="81"/>
            <rFont val="Tahoma"/>
            <family val="2"/>
          </rPr>
          <t>Purington, Elizabeth:</t>
        </r>
        <r>
          <rPr>
            <sz val="9"/>
            <color indexed="81"/>
            <rFont val="Tahoma"/>
            <family val="2"/>
          </rPr>
          <t xml:space="preserve">
Taken from EA notification</t>
        </r>
      </text>
    </comment>
    <comment ref="K2" authorId="1" shapeId="0">
      <text>
        <r>
          <rPr>
            <b/>
            <sz val="9"/>
            <color indexed="81"/>
            <rFont val="Tahoma"/>
            <family val="2"/>
          </rPr>
          <t>Moreno, Fernando:</t>
        </r>
        <r>
          <rPr>
            <sz val="9"/>
            <color indexed="81"/>
            <rFont val="Tahoma"/>
            <family val="2"/>
          </rPr>
          <t xml:space="preserve">
Operates 6 days a week
52 weeks a year=260 days a year.
</t>
        </r>
        <r>
          <rPr>
            <b/>
            <sz val="9"/>
            <color indexed="81"/>
            <rFont val="Tahoma"/>
            <family val="2"/>
          </rPr>
          <t>(75 tons/day)*</t>
        </r>
        <r>
          <rPr>
            <sz val="9"/>
            <color indexed="81"/>
            <rFont val="Tahoma"/>
            <family val="2"/>
          </rPr>
          <t>(260days/year)=19,500tons/year</t>
        </r>
      </text>
    </comment>
    <comment ref="L2" authorId="0" shapeId="0">
      <text>
        <r>
          <rPr>
            <b/>
            <sz val="9"/>
            <color indexed="81"/>
            <rFont val="Tahoma"/>
            <family val="2"/>
          </rPr>
          <t>Purington, Elizabeth:</t>
        </r>
        <r>
          <rPr>
            <sz val="9"/>
            <color indexed="81"/>
            <rFont val="Tahoma"/>
            <family val="2"/>
          </rPr>
          <t xml:space="preserve">
12,500 cubic yards Into listed) * 250 / 2000 = 1,563 tons per year
will use EA report</t>
        </r>
      </text>
    </comment>
    <comment ref="K3" authorId="2" shapeId="0">
      <text>
        <r>
          <rPr>
            <b/>
            <sz val="12"/>
            <color indexed="81"/>
            <rFont val="Tahoma"/>
            <family val="2"/>
          </rPr>
          <t>Bills, Tracie:</t>
        </r>
        <r>
          <rPr>
            <sz val="12"/>
            <color indexed="81"/>
            <rFont val="Tahoma"/>
            <family val="2"/>
          </rPr>
          <t xml:space="preserve">
12,500 cubic yards/not listed-assume annual)*(250/2000)=1,562 tons per year</t>
        </r>
      </text>
    </comment>
    <comment ref="M3" authorId="2" shapeId="0">
      <text>
        <r>
          <rPr>
            <b/>
            <sz val="12"/>
            <color indexed="81"/>
            <rFont val="Tahoma"/>
            <family val="2"/>
          </rPr>
          <t>Bills, Tracie:</t>
        </r>
        <r>
          <rPr>
            <sz val="12"/>
            <color indexed="81"/>
            <rFont val="Tahoma"/>
            <family val="2"/>
          </rPr>
          <t xml:space="preserve">
12,500 cubic yards/not listed-assume annual)*(250/2000)=1,562 tons per year</t>
        </r>
      </text>
    </comment>
    <comment ref="K4" authorId="1" shapeId="0">
      <text>
        <r>
          <rPr>
            <b/>
            <sz val="9"/>
            <color indexed="81"/>
            <rFont val="Tahoma"/>
            <family val="2"/>
          </rPr>
          <t>Moreno, Fernando:</t>
        </r>
        <r>
          <rPr>
            <sz val="9"/>
            <color indexed="81"/>
            <rFont val="Tahoma"/>
            <family val="2"/>
          </rPr>
          <t xml:space="preserve">
250 cubic yards of green waste per ton
(</t>
        </r>
        <r>
          <rPr>
            <b/>
            <sz val="9"/>
            <color indexed="81"/>
            <rFont val="Tahoma"/>
            <family val="2"/>
          </rPr>
          <t>12,500cubic yards/not listed)*</t>
        </r>
        <r>
          <rPr>
            <sz val="9"/>
            <color indexed="81"/>
            <rFont val="Tahoma"/>
            <family val="2"/>
          </rPr>
          <t>(250/2000)=1,562</t>
        </r>
      </text>
    </comment>
    <comment ref="M4" authorId="1" shapeId="0">
      <text>
        <r>
          <rPr>
            <b/>
            <sz val="12"/>
            <color indexed="81"/>
            <rFont val="Tahoma"/>
            <family val="2"/>
          </rPr>
          <t>Moreno, Fernando:</t>
        </r>
        <r>
          <rPr>
            <sz val="12"/>
            <color indexed="81"/>
            <rFont val="Tahoma"/>
            <family val="2"/>
          </rPr>
          <t xml:space="preserve">
250 cubic yards of green waste per ton
(12,500cubic yards/not listed)*(250/2000)=1,562</t>
        </r>
      </text>
    </comment>
    <comment ref="K5" authorId="1" shapeId="0">
      <text>
        <r>
          <rPr>
            <b/>
            <sz val="9"/>
            <color indexed="81"/>
            <rFont val="Tahoma"/>
            <family val="2"/>
          </rPr>
          <t>Moreno, Fernando:</t>
        </r>
        <r>
          <rPr>
            <sz val="9"/>
            <color indexed="81"/>
            <rFont val="Tahoma"/>
            <family val="2"/>
          </rPr>
          <t xml:space="preserve">
250cubic yards of greenwaste per ton
Assuming operates 5 days a week
260days a year
</t>
        </r>
        <r>
          <rPr>
            <b/>
            <sz val="9"/>
            <color indexed="81"/>
            <rFont val="Tahoma"/>
            <family val="2"/>
          </rPr>
          <t>(9000cubic yards/day)*</t>
        </r>
        <r>
          <rPr>
            <sz val="9"/>
            <color indexed="81"/>
            <rFont val="Tahoma"/>
            <family val="2"/>
          </rPr>
          <t>(260days)=2,340,000cubic yards a year.
*(250/2000)=292,500 tons/year</t>
        </r>
      </text>
    </comment>
    <comment ref="M5" authorId="1" shapeId="0">
      <text>
        <r>
          <rPr>
            <b/>
            <sz val="14"/>
            <color indexed="81"/>
            <rFont val="Tahoma"/>
            <family val="2"/>
          </rPr>
          <t>Moreno, Fernando:</t>
        </r>
        <r>
          <rPr>
            <sz val="14"/>
            <color indexed="81"/>
            <rFont val="Tahoma"/>
            <family val="2"/>
          </rPr>
          <t xml:space="preserve">
250cubic yards of greenwaste per ton
</t>
        </r>
        <r>
          <rPr>
            <b/>
            <sz val="14"/>
            <color indexed="81"/>
            <rFont val="Tahoma"/>
            <family val="2"/>
          </rPr>
          <t>(468,000cubic yards/year)</t>
        </r>
        <r>
          <rPr>
            <sz val="14"/>
            <color indexed="81"/>
            <rFont val="Tahoma"/>
            <family val="2"/>
          </rPr>
          <t>*(250/2000)</t>
        </r>
        <r>
          <rPr>
            <sz val="9"/>
            <color indexed="81"/>
            <rFont val="Tahoma"/>
            <family val="2"/>
          </rPr>
          <t xml:space="preserve">
</t>
        </r>
      </text>
    </comment>
    <comment ref="K6" authorId="1" shapeId="0">
      <text>
        <r>
          <rPr>
            <b/>
            <sz val="9"/>
            <color indexed="81"/>
            <rFont val="Tahoma"/>
            <family val="2"/>
          </rPr>
          <t xml:space="preserve">Moreno, Fernando:
</t>
        </r>
        <r>
          <rPr>
            <sz val="9"/>
            <color indexed="81"/>
            <rFont val="Tahoma"/>
            <family val="2"/>
          </rPr>
          <t xml:space="preserve">Operates 7 days a week.365 days a year.
</t>
        </r>
        <r>
          <rPr>
            <b/>
            <sz val="9"/>
            <color indexed="81"/>
            <rFont val="Tahoma"/>
            <family val="2"/>
          </rPr>
          <t>(500cubic yards/day)</t>
        </r>
        <r>
          <rPr>
            <sz val="9"/>
            <color indexed="81"/>
            <rFont val="Tahoma"/>
            <family val="2"/>
          </rPr>
          <t>=(2tons/day)
(2tons/day)*364=728tons/year</t>
        </r>
      </text>
    </comment>
    <comment ref="M6" authorId="1" shapeId="0">
      <text>
        <r>
          <rPr>
            <b/>
            <sz val="9"/>
            <color indexed="81"/>
            <rFont val="Tahoma"/>
            <family val="2"/>
          </rPr>
          <t>Moreno, Fernando:</t>
        </r>
        <r>
          <rPr>
            <sz val="9"/>
            <color indexed="81"/>
            <rFont val="Tahoma"/>
            <family val="2"/>
          </rPr>
          <t xml:space="preserve">
250 cubic yards of greenwaste per ton.
</t>
        </r>
        <r>
          <rPr>
            <b/>
            <sz val="9"/>
            <color indexed="81"/>
            <rFont val="Tahoma"/>
            <family val="2"/>
          </rPr>
          <t>(6,000cubic yards/year)*(</t>
        </r>
        <r>
          <rPr>
            <sz val="9"/>
            <color indexed="81"/>
            <rFont val="Tahoma"/>
            <family val="2"/>
          </rPr>
          <t>250/2000)= 750 tons/year</t>
        </r>
      </text>
    </comment>
  </commentList>
</comments>
</file>

<file path=xl/comments15.xml><?xml version="1.0" encoding="utf-8"?>
<comments xmlns="http://schemas.openxmlformats.org/spreadsheetml/2006/main">
  <authors>
    <author>Bills, Tracie</author>
  </authors>
  <commentList>
    <comment ref="L2" authorId="0" shapeId="0">
      <text>
        <r>
          <rPr>
            <b/>
            <sz val="9"/>
            <color indexed="81"/>
            <rFont val="Tahoma"/>
            <family val="2"/>
          </rPr>
          <t>Bills, Tracie:</t>
        </r>
        <r>
          <rPr>
            <sz val="9"/>
            <color indexed="81"/>
            <rFont val="Tahoma"/>
            <family val="2"/>
          </rPr>
          <t xml:space="preserve">
250cubic yards of greenwaste per ton
30,800 cubic yards/year annual)*(250/2000)=3,850 tons per year</t>
        </r>
      </text>
    </comment>
    <comment ref="L3" authorId="0" shapeId="0">
      <text>
        <r>
          <rPr>
            <b/>
            <sz val="9"/>
            <color indexed="81"/>
            <rFont val="Tahoma"/>
            <family val="2"/>
          </rPr>
          <t>Bills, Tracie:</t>
        </r>
        <r>
          <rPr>
            <sz val="9"/>
            <color indexed="81"/>
            <rFont val="Tahoma"/>
            <family val="2"/>
          </rPr>
          <t xml:space="preserve">
250cubic yards of greenwaste per ton
8,000 cubic yards/year annual)*(250/2000)=1,000 tons per year</t>
        </r>
      </text>
    </comment>
    <comment ref="L4" authorId="0" shapeId="0">
      <text>
        <r>
          <rPr>
            <b/>
            <sz val="9"/>
            <color indexed="81"/>
            <rFont val="Tahoma"/>
            <family val="2"/>
          </rPr>
          <t>Bills, Tracie:</t>
        </r>
        <r>
          <rPr>
            <sz val="9"/>
            <color indexed="81"/>
            <rFont val="Tahoma"/>
            <family val="2"/>
          </rPr>
          <t xml:space="preserve">
250 cubic yards of greenwaste per ton
50,000 cubic yards/year annual)*(250/2000)= 6,250 tons per year </t>
        </r>
      </text>
    </comment>
    <comment ref="L6" authorId="0" shapeId="0">
      <text>
        <r>
          <rPr>
            <b/>
            <sz val="9"/>
            <color indexed="81"/>
            <rFont val="Tahoma"/>
            <family val="2"/>
          </rPr>
          <t>Bills, Tracie:</t>
        </r>
        <r>
          <rPr>
            <sz val="9"/>
            <color indexed="81"/>
            <rFont val="Tahoma"/>
            <family val="2"/>
          </rPr>
          <t xml:space="preserve">
250 cubic yards of greenwaste per ton
50,000 cubic yards/year annual)*(250/2000)= 6,250 tons per year </t>
        </r>
      </text>
    </comment>
    <comment ref="L7" authorId="0" shapeId="0">
      <text>
        <r>
          <rPr>
            <b/>
            <sz val="9"/>
            <color indexed="81"/>
            <rFont val="Tahoma"/>
            <family val="2"/>
          </rPr>
          <t>Bills, Tracie:</t>
        </r>
        <r>
          <rPr>
            <sz val="9"/>
            <color indexed="81"/>
            <rFont val="Tahoma"/>
            <family val="2"/>
          </rPr>
          <t xml:space="preserve">
250 cubic yards of greenwaste per ton
90,000 cubic yards/year annual)*(250/2000)= 11,250 tons per year </t>
        </r>
      </text>
    </comment>
    <comment ref="L8" authorId="0" shapeId="0">
      <text>
        <r>
          <rPr>
            <b/>
            <sz val="9"/>
            <color indexed="81"/>
            <rFont val="Tahoma"/>
            <family val="2"/>
          </rPr>
          <t>Bills, Tracie:</t>
        </r>
        <r>
          <rPr>
            <sz val="9"/>
            <color indexed="81"/>
            <rFont val="Tahoma"/>
            <family val="2"/>
          </rPr>
          <t xml:space="preserve">
250 cubic yards of greenwaste per ton
6,000 cubic yards/year annual)*(250/2000)= 750 tons per year </t>
        </r>
      </text>
    </comment>
  </commentList>
</comments>
</file>

<file path=xl/comments16.xml><?xml version="1.0" encoding="utf-8"?>
<comments xmlns="http://schemas.openxmlformats.org/spreadsheetml/2006/main">
  <authors>
    <author>Moreno, Fernando</author>
    <author>Bills, Tracie</author>
  </authors>
  <commentList>
    <comment ref="K2" authorId="0" shapeId="0">
      <text>
        <r>
          <rPr>
            <b/>
            <sz val="9"/>
            <color indexed="81"/>
            <rFont val="Tahoma"/>
            <family val="2"/>
          </rPr>
          <t>Moreno, Fernando:</t>
        </r>
        <r>
          <rPr>
            <sz val="9"/>
            <color indexed="81"/>
            <rFont val="Tahoma"/>
            <family val="2"/>
          </rPr>
          <t xml:space="preserve">
(</t>
        </r>
        <r>
          <rPr>
            <b/>
            <sz val="9"/>
            <color indexed="81"/>
            <rFont val="Tahoma"/>
            <family val="2"/>
          </rPr>
          <t>12500Cubic Yards/not listed)"will assume per year"
250cubic yards per ton for green waste
(</t>
        </r>
        <r>
          <rPr>
            <sz val="9"/>
            <color indexed="81"/>
            <rFont val="Tahoma"/>
            <family val="2"/>
          </rPr>
          <t>12500cubic yards)*(250/2000)=1,562.5 tons/year</t>
        </r>
      </text>
    </comment>
    <comment ref="M2" authorId="0" shapeId="0">
      <text>
        <r>
          <rPr>
            <b/>
            <sz val="9"/>
            <color indexed="81"/>
            <rFont val="Tahoma"/>
            <family val="2"/>
          </rPr>
          <t>Moreno, Fernando:</t>
        </r>
        <r>
          <rPr>
            <sz val="9"/>
            <color indexed="81"/>
            <rFont val="Tahoma"/>
            <family val="2"/>
          </rPr>
          <t xml:space="preserve">
</t>
        </r>
        <r>
          <rPr>
            <b/>
            <sz val="9"/>
            <color indexed="81"/>
            <rFont val="Tahoma"/>
            <family val="2"/>
          </rPr>
          <t xml:space="preserve">(31,920 cubic yards/year)
</t>
        </r>
        <r>
          <rPr>
            <sz val="9"/>
            <color indexed="81"/>
            <rFont val="Tahoma"/>
            <family val="2"/>
          </rPr>
          <t>250 cubic yards of greenwaste/ton
(250/2000)*(31,920)=</t>
        </r>
      </text>
    </comment>
    <comment ref="K3" authorId="0" shapeId="0">
      <text>
        <r>
          <rPr>
            <b/>
            <sz val="9"/>
            <color indexed="81"/>
            <rFont val="Tahoma"/>
            <family val="2"/>
          </rPr>
          <t>Moreno, Fernando:</t>
        </r>
        <r>
          <rPr>
            <sz val="9"/>
            <color indexed="81"/>
            <rFont val="Tahoma"/>
            <family val="2"/>
          </rPr>
          <t xml:space="preserve">
Operates 5 days a week
52 weeks a year=260 days a year
</t>
        </r>
        <r>
          <rPr>
            <b/>
            <sz val="9"/>
            <color indexed="81"/>
            <rFont val="Tahoma"/>
            <family val="2"/>
          </rPr>
          <t>(250 tons/day)*</t>
        </r>
        <r>
          <rPr>
            <sz val="9"/>
            <color indexed="81"/>
            <rFont val="Tahoma"/>
            <family val="2"/>
          </rPr>
          <t>(260days/ year)=65,000 tons/year
using permitted capacity</t>
        </r>
      </text>
    </comment>
    <comment ref="K4" authorId="0" shapeId="0">
      <text>
        <r>
          <rPr>
            <b/>
            <sz val="9"/>
            <color indexed="81"/>
            <rFont val="Tahoma"/>
            <family val="2"/>
          </rPr>
          <t>Moreno, Fernando:</t>
        </r>
        <r>
          <rPr>
            <sz val="9"/>
            <color indexed="81"/>
            <rFont val="Tahoma"/>
            <family val="2"/>
          </rPr>
          <t xml:space="preserve">
</t>
        </r>
        <r>
          <rPr>
            <b/>
            <sz val="9"/>
            <color indexed="81"/>
            <rFont val="Tahoma"/>
            <family val="2"/>
          </rPr>
          <t>(1408 tons/month)*</t>
        </r>
        <r>
          <rPr>
            <sz val="9"/>
            <color indexed="81"/>
            <rFont val="Tahoma"/>
            <family val="2"/>
          </rPr>
          <t>(12months/year)=16,896tons/year</t>
        </r>
      </text>
    </comment>
    <comment ref="K5" authorId="0" shapeId="0">
      <text>
        <r>
          <rPr>
            <b/>
            <sz val="9"/>
            <color indexed="81"/>
            <rFont val="Tahoma"/>
            <family val="2"/>
          </rPr>
          <t>Moreno, Fernando:</t>
        </r>
        <r>
          <rPr>
            <sz val="9"/>
            <color indexed="81"/>
            <rFont val="Tahoma"/>
            <family val="2"/>
          </rPr>
          <t xml:space="preserve">
</t>
        </r>
        <r>
          <rPr>
            <b/>
            <sz val="9"/>
            <color indexed="81"/>
            <rFont val="Tahoma"/>
            <family val="2"/>
          </rPr>
          <t>(12500Cubic Yards/not listed)"will assume per year"</t>
        </r>
        <r>
          <rPr>
            <sz val="9"/>
            <color indexed="81"/>
            <rFont val="Tahoma"/>
            <family val="2"/>
          </rPr>
          <t xml:space="preserve">
250cubic yards per ton for green waste
(12500cubic yards)*(250/2000)=1,562.5 tons/year
seems low and more of a daily limit, will use permitted capacity</t>
        </r>
      </text>
    </comment>
    <comment ref="M5" authorId="0" shapeId="0">
      <text>
        <r>
          <rPr>
            <b/>
            <sz val="9"/>
            <color indexed="81"/>
            <rFont val="Tahoma"/>
            <family val="2"/>
          </rPr>
          <t>Moreno, Fernando:</t>
        </r>
        <r>
          <rPr>
            <sz val="9"/>
            <color indexed="81"/>
            <rFont val="Tahoma"/>
            <family val="2"/>
          </rPr>
          <t xml:space="preserve">
250 cubic yards of green waste per ton.
</t>
        </r>
        <r>
          <rPr>
            <b/>
            <sz val="9"/>
            <color indexed="81"/>
            <rFont val="Tahoma"/>
            <family val="2"/>
          </rPr>
          <t>(95,000cubic yards/year)*</t>
        </r>
        <r>
          <rPr>
            <sz val="9"/>
            <color indexed="81"/>
            <rFont val="Tahoma"/>
            <family val="2"/>
          </rPr>
          <t>(250/2000)=11,875tons/year</t>
        </r>
      </text>
    </comment>
    <comment ref="K6" authorId="0" shapeId="0">
      <text>
        <r>
          <rPr>
            <b/>
            <sz val="9"/>
            <color indexed="81"/>
            <rFont val="Tahoma"/>
            <family val="2"/>
          </rPr>
          <t>Moreno, Fernando:</t>
        </r>
        <r>
          <rPr>
            <sz val="9"/>
            <color indexed="81"/>
            <rFont val="Tahoma"/>
            <family val="2"/>
          </rPr>
          <t xml:space="preserve">
Operates 7 days a week
364 days a year
</t>
        </r>
        <r>
          <rPr>
            <b/>
            <sz val="9"/>
            <color indexed="81"/>
            <rFont val="Tahoma"/>
            <family val="2"/>
          </rPr>
          <t>(471 tons/day)*</t>
        </r>
        <r>
          <rPr>
            <sz val="9"/>
            <color indexed="81"/>
            <rFont val="Tahoma"/>
            <family val="2"/>
          </rPr>
          <t>(364days)=171,444tons/year</t>
        </r>
      </text>
    </comment>
    <comment ref="M6" authorId="0" shapeId="0">
      <text>
        <r>
          <rPr>
            <b/>
            <sz val="9"/>
            <color indexed="81"/>
            <rFont val="Tahoma"/>
            <family val="2"/>
          </rPr>
          <t>Moreno, Fernando:</t>
        </r>
        <r>
          <rPr>
            <sz val="9"/>
            <color indexed="81"/>
            <rFont val="Tahoma"/>
            <family val="2"/>
          </rPr>
          <t xml:space="preserve">
Operates 7 days a week
364 days a year
</t>
        </r>
        <r>
          <rPr>
            <b/>
            <sz val="9"/>
            <color indexed="81"/>
            <rFont val="Tahoma"/>
            <family val="2"/>
          </rPr>
          <t>(471 tons/day)*</t>
        </r>
        <r>
          <rPr>
            <sz val="9"/>
            <color indexed="81"/>
            <rFont val="Tahoma"/>
            <family val="2"/>
          </rPr>
          <t>(364days)=171,444tons/year</t>
        </r>
      </text>
    </comment>
    <comment ref="K7" authorId="0" shapeId="0">
      <text>
        <r>
          <rPr>
            <sz val="9"/>
            <color indexed="81"/>
            <rFont val="Tahoma"/>
            <family val="2"/>
          </rPr>
          <t>250 cubic yards of green waste per ton.
(10,500 cubic yards/day) using permitted estimate</t>
        </r>
      </text>
    </comment>
    <comment ref="M7" authorId="1" shapeId="0">
      <text>
        <r>
          <rPr>
            <b/>
            <sz val="9"/>
            <color indexed="81"/>
            <rFont val="Tahoma"/>
            <family val="2"/>
          </rPr>
          <t>Bills, Tracie:</t>
        </r>
        <r>
          <rPr>
            <sz val="9"/>
            <color indexed="81"/>
            <rFont val="Tahoma"/>
            <family val="2"/>
          </rPr>
          <t xml:space="preserve">
250 cubic yards of green waste per ton.
(934,425cubic yards/year)*(250/2000)=116,803 5tons/year</t>
        </r>
      </text>
    </comment>
    <comment ref="K8" authorId="0" shapeId="0">
      <text>
        <r>
          <rPr>
            <b/>
            <sz val="9"/>
            <color indexed="81"/>
            <rFont val="Tahoma"/>
            <family val="2"/>
          </rPr>
          <t>Moreno, Fernando:</t>
        </r>
        <r>
          <rPr>
            <sz val="9"/>
            <color indexed="81"/>
            <rFont val="Tahoma"/>
            <family val="2"/>
          </rPr>
          <t xml:space="preserve">
Operats 5 days a week.
52 weeks a year=260 days a year.
</t>
        </r>
        <r>
          <rPr>
            <b/>
            <sz val="9"/>
            <color indexed="81"/>
            <rFont val="Tahoma"/>
            <family val="2"/>
          </rPr>
          <t>(220 tons/day)*</t>
        </r>
        <r>
          <rPr>
            <sz val="9"/>
            <color indexed="81"/>
            <rFont val="Tahoma"/>
            <family val="2"/>
          </rPr>
          <t>(260days/year)=57,200tons/year</t>
        </r>
      </text>
    </comment>
    <comment ref="K9" authorId="0" shapeId="0">
      <text>
        <r>
          <rPr>
            <b/>
            <sz val="9"/>
            <color indexed="81"/>
            <rFont val="Tahoma"/>
            <family val="2"/>
          </rPr>
          <t>Moreno, Fernando:</t>
        </r>
        <r>
          <rPr>
            <sz val="9"/>
            <color indexed="81"/>
            <rFont val="Tahoma"/>
            <family val="2"/>
          </rPr>
          <t xml:space="preserve">
Operates 5 days a week
52 weeks a year=260 days/year
</t>
        </r>
        <r>
          <rPr>
            <b/>
            <sz val="9"/>
            <color indexed="81"/>
            <rFont val="Tahoma"/>
            <family val="2"/>
          </rPr>
          <t>(500tons/day)</t>
        </r>
        <r>
          <rPr>
            <sz val="9"/>
            <color indexed="81"/>
            <rFont val="Tahoma"/>
            <family val="2"/>
          </rPr>
          <t>*(260days)=130,000tons</t>
        </r>
      </text>
    </comment>
    <comment ref="M11" authorId="0" shapeId="0">
      <text>
        <r>
          <rPr>
            <b/>
            <sz val="9"/>
            <color indexed="81"/>
            <rFont val="Tahoma"/>
            <family val="2"/>
          </rPr>
          <t>Moreno, Fernando:</t>
        </r>
        <r>
          <rPr>
            <sz val="9"/>
            <color indexed="81"/>
            <rFont val="Tahoma"/>
            <family val="2"/>
          </rPr>
          <t xml:space="preserve">
Operates 5 days a week
52 weeks a year=260 days/year
</t>
        </r>
        <r>
          <rPr>
            <b/>
            <sz val="9"/>
            <color indexed="81"/>
            <rFont val="Tahoma"/>
            <family val="2"/>
          </rPr>
          <t>(125tons/day)</t>
        </r>
        <r>
          <rPr>
            <sz val="9"/>
            <color indexed="81"/>
            <rFont val="Tahoma"/>
            <family val="2"/>
          </rPr>
          <t>*(260days)=32,500</t>
        </r>
      </text>
    </comment>
    <comment ref="N11" authorId="1" shapeId="0">
      <text>
        <r>
          <rPr>
            <b/>
            <sz val="9"/>
            <color indexed="81"/>
            <rFont val="Tahoma"/>
            <family val="2"/>
          </rPr>
          <t>Bills, Tracie:</t>
        </r>
        <r>
          <rPr>
            <sz val="9"/>
            <color indexed="81"/>
            <rFont val="Tahoma"/>
            <family val="2"/>
          </rPr>
          <t xml:space="preserve">
75 to 100 cubic yards a day</t>
        </r>
      </text>
    </comment>
    <comment ref="J12" authorId="1" shapeId="0">
      <text>
        <r>
          <rPr>
            <b/>
            <sz val="9"/>
            <color indexed="81"/>
            <rFont val="Tahoma"/>
            <family val="2"/>
          </rPr>
          <t>Bills, Tracie:</t>
        </r>
        <r>
          <rPr>
            <sz val="9"/>
            <color indexed="81"/>
            <rFont val="Tahoma"/>
            <family val="2"/>
          </rPr>
          <t xml:space="preserve">
received tonnage information from Christine Wolfe at Recology</t>
        </r>
      </text>
    </comment>
    <comment ref="L12" authorId="1" shapeId="0">
      <text>
        <r>
          <rPr>
            <b/>
            <sz val="9"/>
            <color indexed="81"/>
            <rFont val="Tahoma"/>
            <family val="2"/>
          </rPr>
          <t>Bills, Tracie:</t>
        </r>
        <r>
          <rPr>
            <sz val="9"/>
            <color indexed="81"/>
            <rFont val="Tahoma"/>
            <family val="2"/>
          </rPr>
          <t xml:space="preserve">
received tonnage information from Christine Wolfe at Recology</t>
        </r>
      </text>
    </comment>
  </commentList>
</comments>
</file>

<file path=xl/comments2.xml><?xml version="1.0" encoding="utf-8"?>
<comments xmlns="http://schemas.openxmlformats.org/spreadsheetml/2006/main">
  <authors>
    <author>Moreno, Fernando</author>
    <author>Bills, Tracie</author>
  </authors>
  <commentList>
    <comment ref="K3" authorId="0" shapeId="0">
      <text>
        <r>
          <rPr>
            <b/>
            <sz val="9"/>
            <color indexed="81"/>
            <rFont val="Tahoma"/>
            <family val="2"/>
          </rPr>
          <t>2060 cubic yards/day</t>
        </r>
      </text>
    </comment>
    <comment ref="K4" authorId="0" shapeId="0">
      <text>
        <r>
          <rPr>
            <b/>
            <sz val="9"/>
            <color indexed="81"/>
            <rFont val="Tahoma"/>
            <family val="2"/>
          </rPr>
          <t>2074cubic yards/day</t>
        </r>
        <r>
          <rPr>
            <sz val="9"/>
            <color indexed="81"/>
            <rFont val="Tahoma"/>
            <family val="2"/>
          </rPr>
          <t xml:space="preserve">
</t>
        </r>
      </text>
    </comment>
    <comment ref="M4" authorId="0" shapeId="0">
      <text>
        <r>
          <rPr>
            <b/>
            <sz val="9"/>
            <color indexed="81"/>
            <rFont val="Tahoma"/>
            <family val="2"/>
          </rPr>
          <t>6741cubic yards/year</t>
        </r>
        <r>
          <rPr>
            <sz val="9"/>
            <color indexed="81"/>
            <rFont val="Tahoma"/>
            <family val="2"/>
          </rPr>
          <t>)*(1252/2000)
=4,219tons/year</t>
        </r>
      </text>
    </comment>
    <comment ref="K5" authorId="0" shapeId="0">
      <text>
        <r>
          <rPr>
            <b/>
            <sz val="9"/>
            <color indexed="81"/>
            <rFont val="Tahoma"/>
            <family val="2"/>
          </rPr>
          <t>Moreno, Fernando:</t>
        </r>
        <r>
          <rPr>
            <sz val="9"/>
            <color indexed="81"/>
            <rFont val="Tahoma"/>
            <family val="2"/>
          </rPr>
          <t xml:space="preserve">
Operates 5 days a week.
52 weeks a year=260 days a year
260*</t>
        </r>
        <r>
          <rPr>
            <b/>
            <sz val="9"/>
            <color indexed="81"/>
            <rFont val="Tahoma"/>
            <family val="2"/>
          </rPr>
          <t>(2400cubic yards/day</t>
        </r>
        <r>
          <rPr>
            <sz val="9"/>
            <color indexed="81"/>
            <rFont val="Tahoma"/>
            <family val="2"/>
          </rPr>
          <t>)= 624,000cubic yards per year</t>
        </r>
      </text>
    </comment>
    <comment ref="M5" authorId="0" shapeId="0">
      <text>
        <r>
          <rPr>
            <b/>
            <sz val="9"/>
            <color indexed="81"/>
            <rFont val="Tahoma"/>
            <family val="2"/>
          </rPr>
          <t>Moreno, Fernando:</t>
        </r>
        <r>
          <rPr>
            <sz val="9"/>
            <color indexed="81"/>
            <rFont val="Tahoma"/>
            <family val="2"/>
          </rPr>
          <t xml:space="preserve">
1252 cubic yards of manure per ton(
</t>
        </r>
        <r>
          <rPr>
            <b/>
            <sz val="9"/>
            <color indexed="81"/>
            <rFont val="Tahoma"/>
            <family val="2"/>
          </rPr>
          <t>4700cubic yards/year)</t>
        </r>
        <r>
          <rPr>
            <sz val="9"/>
            <color indexed="81"/>
            <rFont val="Tahoma"/>
            <family val="2"/>
          </rPr>
          <t>*(1252/2000)=2942tons/year</t>
        </r>
      </text>
    </comment>
    <comment ref="K6" authorId="0" shapeId="0">
      <text>
        <r>
          <rPr>
            <b/>
            <sz val="9"/>
            <color indexed="81"/>
            <rFont val="Tahoma"/>
            <family val="2"/>
          </rPr>
          <t>200tons/day</t>
        </r>
      </text>
    </comment>
    <comment ref="K7" authorId="0" shapeId="0">
      <text>
        <r>
          <rPr>
            <b/>
            <sz val="9"/>
            <color indexed="81"/>
            <rFont val="Tahoma"/>
            <family val="2"/>
          </rPr>
          <t>4000 cubic yards/day</t>
        </r>
      </text>
    </comment>
    <comment ref="M7" authorId="0" shapeId="0">
      <text>
        <r>
          <rPr>
            <b/>
            <sz val="9"/>
            <color indexed="81"/>
            <rFont val="Tahoma"/>
            <family val="2"/>
          </rPr>
          <t>Moreno, Fernando:</t>
        </r>
        <r>
          <rPr>
            <sz val="9"/>
            <color indexed="81"/>
            <rFont val="Tahoma"/>
            <family val="2"/>
          </rPr>
          <t xml:space="preserve">
250 cubic yards of green waste per ton
</t>
        </r>
        <r>
          <rPr>
            <b/>
            <sz val="9"/>
            <color indexed="81"/>
            <rFont val="Tahoma"/>
            <family val="2"/>
          </rPr>
          <t>(74,000cubic yards/year</t>
        </r>
        <r>
          <rPr>
            <sz val="9"/>
            <color indexed="81"/>
            <rFont val="Tahoma"/>
            <family val="2"/>
          </rPr>
          <t>)*(250/2000)=9,250tons/year</t>
        </r>
      </text>
    </comment>
    <comment ref="K8" authorId="1" shapeId="0">
      <text>
        <r>
          <rPr>
            <b/>
            <sz val="9"/>
            <color indexed="81"/>
            <rFont val="Tahoma"/>
            <family val="2"/>
          </rPr>
          <t>Bills, Tracie:</t>
        </r>
        <r>
          <rPr>
            <sz val="9"/>
            <color indexed="81"/>
            <rFont val="Tahoma"/>
            <family val="2"/>
          </rPr>
          <t xml:space="preserve">
100 cubic yards per day</t>
        </r>
      </text>
    </comment>
    <comment ref="M8" authorId="1" shapeId="0">
      <text>
        <r>
          <rPr>
            <b/>
            <sz val="9"/>
            <color indexed="81"/>
            <rFont val="Tahoma"/>
            <family val="2"/>
          </rPr>
          <t>Bills, Tracie:</t>
        </r>
        <r>
          <rPr>
            <sz val="9"/>
            <color indexed="81"/>
            <rFont val="Tahoma"/>
            <family val="2"/>
          </rPr>
          <t xml:space="preserve">
10,000 cubic yards / year. 21,350 * 250 / 2,000 = 1,250 tons</t>
        </r>
      </text>
    </comment>
    <comment ref="K10" authorId="0" shapeId="0">
      <text>
        <r>
          <rPr>
            <b/>
            <sz val="9"/>
            <color indexed="81"/>
            <rFont val="Tahoma"/>
            <family val="2"/>
          </rPr>
          <t>Moreno, Fernando:</t>
        </r>
        <r>
          <rPr>
            <sz val="9"/>
            <color indexed="81"/>
            <rFont val="Tahoma"/>
            <family val="2"/>
          </rPr>
          <t xml:space="preserve">
Operates 7 days a week
364 days a year
</t>
        </r>
        <r>
          <rPr>
            <b/>
            <sz val="9"/>
            <color indexed="81"/>
            <rFont val="Tahoma"/>
            <family val="2"/>
          </rPr>
          <t>(200tons/day</t>
        </r>
        <r>
          <rPr>
            <sz val="9"/>
            <color indexed="81"/>
            <rFont val="Tahoma"/>
            <family val="2"/>
          </rPr>
          <t>)*(364days)=72,800tons/year</t>
        </r>
      </text>
    </comment>
  </commentList>
</comments>
</file>

<file path=xl/comments3.xml><?xml version="1.0" encoding="utf-8"?>
<comments xmlns="http://schemas.openxmlformats.org/spreadsheetml/2006/main">
  <authors>
    <author>Moreno, Fernando</author>
    <author>Purington, Elizabeth</author>
  </authors>
  <commentList>
    <comment ref="K2" authorId="0" shapeId="0">
      <text>
        <r>
          <rPr>
            <b/>
            <sz val="9"/>
            <color indexed="81"/>
            <rFont val="Tahoma"/>
            <family val="2"/>
          </rPr>
          <t>Moreno, Fernando:</t>
        </r>
        <r>
          <rPr>
            <sz val="9"/>
            <color indexed="81"/>
            <rFont val="Tahoma"/>
            <family val="2"/>
          </rPr>
          <t xml:space="preserve">
Operates 6 days a week. 52 weeks=312 days a year.
(</t>
        </r>
        <r>
          <rPr>
            <b/>
            <sz val="9"/>
            <color indexed="81"/>
            <rFont val="Tahoma"/>
            <family val="2"/>
          </rPr>
          <t>199tons/day</t>
        </r>
        <r>
          <rPr>
            <sz val="9"/>
            <color indexed="81"/>
            <rFont val="Tahoma"/>
            <family val="2"/>
          </rPr>
          <t>)*(312days/year)=
62,088tons/year.
Using permitted capacity number</t>
        </r>
      </text>
    </comment>
    <comment ref="K3" authorId="0" shapeId="0">
      <text>
        <r>
          <rPr>
            <b/>
            <sz val="9"/>
            <color indexed="81"/>
            <rFont val="Tahoma"/>
            <family val="2"/>
          </rPr>
          <t>Moreno, Fernando:</t>
        </r>
        <r>
          <rPr>
            <sz val="9"/>
            <color indexed="81"/>
            <rFont val="Tahoma"/>
            <family val="2"/>
          </rPr>
          <t xml:space="preserve">
Operates 5 days a week, 52 weeks a year=260 days a year.
(</t>
        </r>
        <r>
          <rPr>
            <b/>
            <sz val="9"/>
            <color indexed="81"/>
            <rFont val="Tahoma"/>
            <family val="2"/>
          </rPr>
          <t>500tons/day</t>
        </r>
        <r>
          <rPr>
            <sz val="9"/>
            <color indexed="81"/>
            <rFont val="Tahoma"/>
            <family val="2"/>
          </rPr>
          <t>)*(260days/year)=130,000tons/year</t>
        </r>
      </text>
    </comment>
    <comment ref="L3" authorId="1" shapeId="0">
      <text>
        <r>
          <rPr>
            <b/>
            <sz val="9"/>
            <color indexed="81"/>
            <rFont val="Tahoma"/>
            <family val="2"/>
          </rPr>
          <t>Purington, Elizabeth:</t>
        </r>
        <r>
          <rPr>
            <sz val="9"/>
            <color indexed="81"/>
            <rFont val="Tahoma"/>
            <family val="2"/>
          </rPr>
          <t xml:space="preserve">
346,700 CY/not listed</t>
        </r>
      </text>
    </comment>
    <comment ref="K4" authorId="0" shapeId="0">
      <text>
        <r>
          <rPr>
            <b/>
            <sz val="9"/>
            <color indexed="81"/>
            <rFont val="Tahoma"/>
            <family val="2"/>
          </rPr>
          <t>Moreno, Fernando:</t>
        </r>
        <r>
          <rPr>
            <sz val="9"/>
            <color indexed="81"/>
            <rFont val="Tahoma"/>
            <family val="2"/>
          </rPr>
          <t xml:space="preserve">
Operates 6 days a week. 52 weeks a year=312 days a year
</t>
        </r>
        <r>
          <rPr>
            <b/>
            <sz val="9"/>
            <color indexed="81"/>
            <rFont val="Tahoma"/>
            <family val="2"/>
          </rPr>
          <t>(1000tons/day)</t>
        </r>
        <r>
          <rPr>
            <sz val="9"/>
            <color indexed="81"/>
            <rFont val="Tahoma"/>
            <family val="2"/>
          </rPr>
          <t>*(312days/year)=(312000tons a year)</t>
        </r>
      </text>
    </comment>
    <comment ref="M4" authorId="0" shapeId="0">
      <text>
        <r>
          <rPr>
            <b/>
            <sz val="9"/>
            <color indexed="81"/>
            <rFont val="Tahoma"/>
            <family val="2"/>
          </rPr>
          <t>Moreno, Fernando:</t>
        </r>
        <r>
          <rPr>
            <sz val="9"/>
            <color indexed="81"/>
            <rFont val="Tahoma"/>
            <family val="2"/>
          </rPr>
          <t xml:space="preserve">
52 weeks a year=312 days a year
(1000tons/day)*(312days/year)=(312000tons a year)</t>
        </r>
      </text>
    </comment>
    <comment ref="K6" authorId="0" shapeId="0">
      <text>
        <r>
          <rPr>
            <b/>
            <sz val="9"/>
            <color indexed="81"/>
            <rFont val="Tahoma"/>
            <family val="2"/>
          </rPr>
          <t>Moreno, Fernando:</t>
        </r>
        <r>
          <rPr>
            <sz val="9"/>
            <color indexed="81"/>
            <rFont val="Tahoma"/>
            <family val="2"/>
          </rPr>
          <t xml:space="preserve">
Operates 7 days a week
364 days a year
</t>
        </r>
        <r>
          <rPr>
            <b/>
            <sz val="9"/>
            <color indexed="81"/>
            <rFont val="Tahoma"/>
            <family val="2"/>
          </rPr>
          <t>(200tons/day)</t>
        </r>
        <r>
          <rPr>
            <sz val="9"/>
            <color indexed="81"/>
            <rFont val="Tahoma"/>
            <family val="2"/>
          </rPr>
          <t>*(364 days)=72,800tons/year. 
Using permitted capacity</t>
        </r>
      </text>
    </comment>
    <comment ref="K7" authorId="0" shapeId="0">
      <text>
        <r>
          <rPr>
            <b/>
            <sz val="9"/>
            <color indexed="81"/>
            <rFont val="Tahoma"/>
            <family val="2"/>
          </rPr>
          <t>Moreno, Fernando:</t>
        </r>
        <r>
          <rPr>
            <sz val="9"/>
            <color indexed="81"/>
            <rFont val="Tahoma"/>
            <family val="2"/>
          </rPr>
          <t xml:space="preserve">
Operates 6 days a week. 52 weeks a year=312 days a year
(</t>
        </r>
        <r>
          <rPr>
            <b/>
            <sz val="9"/>
            <color indexed="81"/>
            <rFont val="Tahoma"/>
            <family val="2"/>
          </rPr>
          <t>200tons/day</t>
        </r>
        <r>
          <rPr>
            <sz val="9"/>
            <color indexed="81"/>
            <rFont val="Tahoma"/>
            <family val="2"/>
          </rPr>
          <t>)*(312days/year)=62400Tons/year</t>
        </r>
      </text>
    </comment>
    <comment ref="K8" authorId="0" shapeId="0">
      <text>
        <r>
          <rPr>
            <b/>
            <sz val="9"/>
            <color indexed="81"/>
            <rFont val="Tahoma"/>
            <family val="2"/>
          </rPr>
          <t>Moreno, Fernando:</t>
        </r>
        <r>
          <rPr>
            <sz val="9"/>
            <color indexed="81"/>
            <rFont val="Tahoma"/>
            <family val="2"/>
          </rPr>
          <t xml:space="preserve">
Operates 6 days a week. 52 weeks a year=312 days a year
</t>
        </r>
        <r>
          <rPr>
            <b/>
            <sz val="9"/>
            <color indexed="81"/>
            <rFont val="Tahoma"/>
            <family val="2"/>
          </rPr>
          <t>(200tons/day)</t>
        </r>
        <r>
          <rPr>
            <sz val="9"/>
            <color indexed="81"/>
            <rFont val="Tahoma"/>
            <family val="2"/>
          </rPr>
          <t>*(312days/year)=62400Tons/year</t>
        </r>
      </text>
    </comment>
    <comment ref="K9" authorId="0" shapeId="0">
      <text>
        <r>
          <rPr>
            <b/>
            <sz val="9"/>
            <color indexed="81"/>
            <rFont val="Tahoma"/>
            <family val="2"/>
          </rPr>
          <t>Moreno, Fernando:</t>
        </r>
        <r>
          <rPr>
            <sz val="9"/>
            <color indexed="81"/>
            <rFont val="Tahoma"/>
            <family val="2"/>
          </rPr>
          <t xml:space="preserve">
Operates 6 days a week, 52 weeks a year=312 days a year.</t>
        </r>
        <r>
          <rPr>
            <b/>
            <sz val="9"/>
            <color indexed="81"/>
            <rFont val="Tahoma"/>
            <family val="2"/>
          </rPr>
          <t>(12500cubicyards/day)</t>
        </r>
        <r>
          <rPr>
            <sz val="9"/>
            <color indexed="81"/>
            <rFont val="Tahoma"/>
            <family val="2"/>
          </rPr>
          <t>*312 days= (3900000 cubic yards/year).
(3900000)*(250/2000)=487,500tons/year
Using permitted capacity</t>
        </r>
      </text>
    </comment>
    <comment ref="M9" authorId="0" shapeId="0">
      <text>
        <r>
          <rPr>
            <b/>
            <sz val="9"/>
            <color indexed="81"/>
            <rFont val="Tahoma"/>
            <family val="2"/>
          </rPr>
          <t>Moreno, Fernando:</t>
        </r>
        <r>
          <rPr>
            <sz val="9"/>
            <color indexed="81"/>
            <rFont val="Tahoma"/>
            <family val="2"/>
          </rPr>
          <t xml:space="preserve">
250 Cubic yards of mixed greenwaste per ton.
</t>
        </r>
        <r>
          <rPr>
            <b/>
            <sz val="9"/>
            <color indexed="81"/>
            <rFont val="Tahoma"/>
            <family val="2"/>
          </rPr>
          <t>(61,000cubic yards/year)*</t>
        </r>
        <r>
          <rPr>
            <sz val="9"/>
            <color indexed="81"/>
            <rFont val="Tahoma"/>
            <family val="2"/>
          </rPr>
          <t>(250/2000)=
7,625tons/year</t>
        </r>
      </text>
    </comment>
    <comment ref="K10" authorId="0" shapeId="0">
      <text>
        <r>
          <rPr>
            <b/>
            <sz val="9"/>
            <color indexed="81"/>
            <rFont val="Tahoma"/>
            <family val="2"/>
          </rPr>
          <t>Moreno, Fernando:</t>
        </r>
        <r>
          <rPr>
            <sz val="9"/>
            <color indexed="81"/>
            <rFont val="Tahoma"/>
            <family val="2"/>
          </rPr>
          <t xml:space="preserve">
Operates 6 days a week, 52 weeks a year=312 days a year.(12500cubicyards/day)*312 days= (3900000 cubic yards/year).
(3900000)*(250/2000)=487,500tons/year
Seems high, will use current permitted capacity</t>
        </r>
      </text>
    </comment>
    <comment ref="M10" authorId="0" shapeId="0">
      <text>
        <r>
          <rPr>
            <b/>
            <sz val="9"/>
            <color indexed="81"/>
            <rFont val="Tahoma"/>
            <family val="2"/>
          </rPr>
          <t>Moreno, Fernando:</t>
        </r>
        <r>
          <rPr>
            <sz val="9"/>
            <color indexed="81"/>
            <rFont val="Tahoma"/>
            <family val="2"/>
          </rPr>
          <t xml:space="preserve">
250 cubic yards of mixed greenwaste/ton
</t>
        </r>
        <r>
          <rPr>
            <b/>
            <sz val="9"/>
            <color indexed="81"/>
            <rFont val="Tahoma"/>
            <family val="2"/>
          </rPr>
          <t>(50,000cubic yards/year)*</t>
        </r>
        <r>
          <rPr>
            <sz val="9"/>
            <color indexed="81"/>
            <rFont val="Tahoma"/>
            <family val="2"/>
          </rPr>
          <t>(250/2,000)=6,250tons/year</t>
        </r>
      </text>
    </comment>
  </commentList>
</comments>
</file>

<file path=xl/comments4.xml><?xml version="1.0" encoding="utf-8"?>
<comments xmlns="http://schemas.openxmlformats.org/spreadsheetml/2006/main">
  <authors>
    <author>Abraham, Reka</author>
  </authors>
  <commentList>
    <comment ref="M2" authorId="0" shapeId="0">
      <text>
        <r>
          <rPr>
            <b/>
            <sz val="9"/>
            <color indexed="81"/>
            <rFont val="Tahoma"/>
            <family val="2"/>
          </rPr>
          <t>Abraham, Reka:</t>
        </r>
        <r>
          <rPr>
            <sz val="9"/>
            <color indexed="81"/>
            <rFont val="Tahoma"/>
            <family val="2"/>
          </rPr>
          <t xml:space="preserve">
no permitted capacity found</t>
        </r>
      </text>
    </comment>
    <comment ref="L4" authorId="0" shapeId="0">
      <text>
        <r>
          <rPr>
            <b/>
            <sz val="9"/>
            <color indexed="81"/>
            <rFont val="Tahoma"/>
            <family val="2"/>
          </rPr>
          <t>Abraham, Reka:</t>
        </r>
        <r>
          <rPr>
            <sz val="9"/>
            <color indexed="81"/>
            <rFont val="Tahoma"/>
            <family val="2"/>
          </rPr>
          <t xml:space="preserve">
250cubic yards of greenwaste per ton
18000 cubic yards/year annual)*(250/2000)=2250 tons per year</t>
        </r>
      </text>
    </comment>
    <comment ref="L5" authorId="0" shapeId="0">
      <text>
        <r>
          <rPr>
            <b/>
            <sz val="9"/>
            <color indexed="81"/>
            <rFont val="Tahoma"/>
            <family val="2"/>
          </rPr>
          <t>Abraham, Reka:</t>
        </r>
        <r>
          <rPr>
            <sz val="9"/>
            <color indexed="81"/>
            <rFont val="Tahoma"/>
            <family val="2"/>
          </rPr>
          <t xml:space="preserve">
250cubic yards of greenwaste per ton
36600 cubic yards/year annual)*(250/2000)=4575 tons per year</t>
        </r>
      </text>
    </comment>
  </commentList>
</comments>
</file>

<file path=xl/comments5.xml><?xml version="1.0" encoding="utf-8"?>
<comments xmlns="http://schemas.openxmlformats.org/spreadsheetml/2006/main">
  <authors>
    <author>Moreno, Fernando</author>
  </authors>
  <commentList>
    <comment ref="K4" authorId="0" shapeId="0">
      <text>
        <r>
          <rPr>
            <b/>
            <sz val="9"/>
            <color indexed="81"/>
            <rFont val="Tahoma"/>
            <family val="2"/>
          </rPr>
          <t>Moreno, Fernando:</t>
        </r>
        <r>
          <rPr>
            <sz val="9"/>
            <color indexed="81"/>
            <rFont val="Tahoma"/>
            <family val="2"/>
          </rPr>
          <t xml:space="preserve">
(</t>
        </r>
        <r>
          <rPr>
            <b/>
            <sz val="9"/>
            <color indexed="81"/>
            <rFont val="Tahoma"/>
            <family val="2"/>
          </rPr>
          <t>1325tons/day - using permitted capacity</t>
        </r>
      </text>
    </comment>
    <comment ref="M4" authorId="0" shapeId="0">
      <text>
        <r>
          <rPr>
            <b/>
            <sz val="9"/>
            <color indexed="81"/>
            <rFont val="Tahoma"/>
            <family val="2"/>
          </rPr>
          <t xml:space="preserve">Moreno, Fernando:   
</t>
        </r>
        <r>
          <rPr>
            <sz val="9"/>
            <color indexed="81"/>
            <rFont val="Tahoma"/>
            <family val="2"/>
          </rPr>
          <t xml:space="preserve">250 cubic yards of green waste per ton.   </t>
        </r>
        <r>
          <rPr>
            <b/>
            <sz val="9"/>
            <color indexed="81"/>
            <rFont val="Tahoma"/>
            <family val="2"/>
          </rPr>
          <t>(378,000 cubic yards/year</t>
        </r>
        <r>
          <rPr>
            <sz val="9"/>
            <color indexed="81"/>
            <rFont val="Tahoma"/>
            <family val="2"/>
          </rPr>
          <t>)*(250/2000)</t>
        </r>
      </text>
    </comment>
    <comment ref="K5" authorId="0" shapeId="0">
      <text>
        <r>
          <rPr>
            <b/>
            <sz val="9"/>
            <color indexed="81"/>
            <rFont val="Tahoma"/>
            <family val="2"/>
          </rPr>
          <t>Moreno, Fernando:</t>
        </r>
        <r>
          <rPr>
            <sz val="9"/>
            <color indexed="81"/>
            <rFont val="Tahoma"/>
            <family val="2"/>
          </rPr>
          <t xml:space="preserve">
Operates 6 days a week. 52 weeks a year=312 days a year
</t>
        </r>
        <r>
          <rPr>
            <b/>
            <sz val="9"/>
            <color indexed="81"/>
            <rFont val="Tahoma"/>
            <family val="2"/>
          </rPr>
          <t>(500tons/day)</t>
        </r>
        <r>
          <rPr>
            <sz val="9"/>
            <color indexed="81"/>
            <rFont val="Tahoma"/>
            <family val="2"/>
          </rPr>
          <t>*(312days/year)=156,000tons year</t>
        </r>
      </text>
    </comment>
    <comment ref="K6" authorId="0" shapeId="0">
      <text>
        <r>
          <rPr>
            <b/>
            <sz val="9"/>
            <color indexed="81"/>
            <rFont val="Tahoma"/>
            <family val="2"/>
          </rPr>
          <t>Moreno, Fernando:</t>
        </r>
        <r>
          <rPr>
            <sz val="9"/>
            <color indexed="81"/>
            <rFont val="Tahoma"/>
            <family val="2"/>
          </rPr>
          <t xml:space="preserve">
</t>
        </r>
        <r>
          <rPr>
            <b/>
            <sz val="9"/>
            <color indexed="81"/>
            <rFont val="Tahoma"/>
            <family val="2"/>
          </rPr>
          <t>10,000 tons/month) - using permitted capacity</t>
        </r>
      </text>
    </comment>
    <comment ref="K7" authorId="0" shapeId="0">
      <text>
        <r>
          <rPr>
            <b/>
            <sz val="9"/>
            <color indexed="81"/>
            <rFont val="Tahoma"/>
            <family val="2"/>
          </rPr>
          <t>Moreno, Fernando:</t>
        </r>
        <r>
          <rPr>
            <sz val="9"/>
            <color indexed="81"/>
            <rFont val="Tahoma"/>
            <family val="2"/>
          </rPr>
          <t xml:space="preserve">
Operates 5 days a week, 52 weeks a year=260days/year.
</t>
        </r>
        <r>
          <rPr>
            <b/>
            <sz val="9"/>
            <color indexed="81"/>
            <rFont val="Tahoma"/>
            <family val="2"/>
          </rPr>
          <t>(425tons/day</t>
        </r>
        <r>
          <rPr>
            <sz val="9"/>
            <color indexed="81"/>
            <rFont val="Tahoma"/>
            <family val="2"/>
          </rPr>
          <t>)*(260days/year)=110,500</t>
        </r>
      </text>
    </comment>
    <comment ref="M7" authorId="0" shapeId="0">
      <text>
        <r>
          <rPr>
            <b/>
            <sz val="9"/>
            <color indexed="81"/>
            <rFont val="Tahoma"/>
            <family val="2"/>
          </rPr>
          <t>Moreno, Fernando:</t>
        </r>
        <r>
          <rPr>
            <sz val="9"/>
            <color indexed="81"/>
            <rFont val="Tahoma"/>
            <family val="2"/>
          </rPr>
          <t xml:space="preserve">
</t>
        </r>
        <r>
          <rPr>
            <b/>
            <sz val="9"/>
            <color indexed="81"/>
            <rFont val="Tahoma"/>
            <family val="2"/>
          </rPr>
          <t>(218686 cubic yards/not listed) assuming per quarter
(</t>
        </r>
        <r>
          <rPr>
            <sz val="9"/>
            <color indexed="81"/>
            <rFont val="Tahoma"/>
            <family val="2"/>
          </rPr>
          <t>218,686cubic yards)*(250/2000)=
(27,335.75 tons per quarter) = 109,343</t>
        </r>
      </text>
    </comment>
  </commentList>
</comments>
</file>

<file path=xl/comments6.xml><?xml version="1.0" encoding="utf-8"?>
<comments xmlns="http://schemas.openxmlformats.org/spreadsheetml/2006/main">
  <authors>
    <author>Moreno, Fernando</author>
  </authors>
  <commentList>
    <comment ref="K2" authorId="0" shapeId="0">
      <text>
        <r>
          <rPr>
            <b/>
            <sz val="12"/>
            <color indexed="81"/>
            <rFont val="Tahoma"/>
            <family val="2"/>
          </rPr>
          <t>Moreno, Fernando:</t>
        </r>
        <r>
          <rPr>
            <sz val="12"/>
            <color indexed="81"/>
            <rFont val="Tahoma"/>
            <family val="2"/>
          </rPr>
          <t xml:space="preserve">
Operates 5 days a week.
52 weeks a year=260days/year
</t>
        </r>
        <r>
          <rPr>
            <b/>
            <sz val="12"/>
            <color indexed="81"/>
            <rFont val="Tahoma"/>
            <family val="2"/>
          </rPr>
          <t>(1000tons/day</t>
        </r>
        <r>
          <rPr>
            <sz val="12"/>
            <color indexed="81"/>
            <rFont val="Tahoma"/>
            <family val="2"/>
          </rPr>
          <t>)*(260days/year)=</t>
        </r>
      </text>
    </comment>
    <comment ref="K3" authorId="0" shapeId="0">
      <text>
        <r>
          <rPr>
            <b/>
            <sz val="12"/>
            <color indexed="81"/>
            <rFont val="Tahoma"/>
            <family val="2"/>
          </rPr>
          <t>Moreno, Fernando:</t>
        </r>
        <r>
          <rPr>
            <sz val="12"/>
            <color indexed="81"/>
            <rFont val="Tahoma"/>
            <family val="2"/>
          </rPr>
          <t xml:space="preserve">
Operates 5 days a week.
52 weeks a year=260 days a year.
</t>
        </r>
        <r>
          <rPr>
            <b/>
            <sz val="12"/>
            <color indexed="81"/>
            <rFont val="Tahoma"/>
            <family val="2"/>
          </rPr>
          <t>(1369 tons/day)*</t>
        </r>
        <r>
          <rPr>
            <sz val="12"/>
            <color indexed="81"/>
            <rFont val="Tahoma"/>
            <family val="2"/>
          </rPr>
          <t>(260days/year)=355,940tons/year
using permitted capacity</t>
        </r>
      </text>
    </comment>
    <comment ref="M3" authorId="0" shapeId="0">
      <text>
        <r>
          <rPr>
            <b/>
            <sz val="12"/>
            <color indexed="81"/>
            <rFont val="Tahoma"/>
            <family val="2"/>
          </rPr>
          <t>Moreno, Fernando:</t>
        </r>
        <r>
          <rPr>
            <sz val="12"/>
            <color indexed="81"/>
            <rFont val="Tahoma"/>
            <family val="2"/>
          </rPr>
          <t xml:space="preserve">
</t>
        </r>
        <r>
          <rPr>
            <b/>
            <sz val="12"/>
            <color indexed="81"/>
            <rFont val="Tahoma"/>
            <family val="2"/>
          </rPr>
          <t>(912000cubicyards/not listed)
(</t>
        </r>
        <r>
          <rPr>
            <sz val="12"/>
            <color indexed="81"/>
            <rFont val="Tahoma"/>
            <family val="2"/>
          </rPr>
          <t>912,000cubic yards)*(250/2000)=114,000tons</t>
        </r>
      </text>
    </comment>
  </commentList>
</comments>
</file>

<file path=xl/comments7.xml><?xml version="1.0" encoding="utf-8"?>
<comments xmlns="http://schemas.openxmlformats.org/spreadsheetml/2006/main">
  <authors>
    <author>Abraham, Reka</author>
  </authors>
  <commentList>
    <comment ref="L4" authorId="0" shapeId="0">
      <text>
        <r>
          <rPr>
            <b/>
            <sz val="9"/>
            <color indexed="81"/>
            <rFont val="Tahoma"/>
            <family val="2"/>
          </rPr>
          <t>Abraham, Reka:</t>
        </r>
        <r>
          <rPr>
            <sz val="9"/>
            <color indexed="81"/>
            <rFont val="Tahoma"/>
            <family val="2"/>
          </rPr>
          <t xml:space="preserve">
250cubic yards of greenwaste per ton
8000 cubic yards/year annual)*(250/2000)=1,000 tons per year</t>
        </r>
      </text>
    </comment>
    <comment ref="L5" authorId="0" shapeId="0">
      <text>
        <r>
          <rPr>
            <b/>
            <sz val="9"/>
            <color indexed="81"/>
            <rFont val="Tahoma"/>
            <family val="2"/>
          </rPr>
          <t>Abraham, Reka:</t>
        </r>
        <r>
          <rPr>
            <sz val="9"/>
            <color indexed="81"/>
            <rFont val="Tahoma"/>
            <family val="2"/>
          </rPr>
          <t xml:space="preserve">
250cubic yards of greenwaste per ton
300000 cubic yards/not listed, assume annual)*(250/2000)=37500 tons per year
</t>
        </r>
      </text>
    </comment>
  </commentList>
</comments>
</file>

<file path=xl/comments8.xml><?xml version="1.0" encoding="utf-8"?>
<comments xmlns="http://schemas.openxmlformats.org/spreadsheetml/2006/main">
  <authors>
    <author>Moreno, Fernando</author>
    <author>Bills, Tracie</author>
    <author>Purington, Elizabeth</author>
  </authors>
  <commentList>
    <comment ref="K3" authorId="0" shapeId="0">
      <text>
        <r>
          <rPr>
            <b/>
            <sz val="9"/>
            <color indexed="81"/>
            <rFont val="Tahoma"/>
            <family val="2"/>
          </rPr>
          <t>Moreno, Fernando:</t>
        </r>
        <r>
          <rPr>
            <sz val="9"/>
            <color indexed="81"/>
            <rFont val="Tahoma"/>
            <family val="2"/>
          </rPr>
          <t xml:space="preserve">
250 cubic yards per ton
Assume 5 days a week operations
260 days a year
300 cubic yards/day*260=78000cubicyards/year *(250/2000)=9750tons/year</t>
        </r>
      </text>
    </comment>
    <comment ref="M3" authorId="0" shapeId="0">
      <text>
        <r>
          <rPr>
            <b/>
            <sz val="9"/>
            <color indexed="81"/>
            <rFont val="Tahoma"/>
            <family val="2"/>
          </rPr>
          <t>Moreno, Fernando:</t>
        </r>
        <r>
          <rPr>
            <sz val="9"/>
            <color indexed="81"/>
            <rFont val="Tahoma"/>
            <family val="2"/>
          </rPr>
          <t xml:space="preserve">
250 cubic yards per ton
greenwaste
9999cubic yards/not list*(250/2000)=1249ton/not listed
but will assume year</t>
        </r>
      </text>
    </comment>
    <comment ref="K4" authorId="1" shapeId="0">
      <text>
        <r>
          <rPr>
            <b/>
            <sz val="9"/>
            <color indexed="81"/>
            <rFont val="Tahoma"/>
            <family val="2"/>
          </rPr>
          <t>Bills, Tracie:</t>
        </r>
        <r>
          <rPr>
            <sz val="9"/>
            <color indexed="81"/>
            <rFont val="Tahoma"/>
            <family val="2"/>
          </rPr>
          <t xml:space="preserve">
1252 cubic yards of manure per ton
assume 5 days of week or 260 days a year
12,500 cubic yards/day*260=135,200cubic yards/year*(1252/2000)=84,635.2ton/year</t>
        </r>
      </text>
    </comment>
    <comment ref="K5" authorId="0" shapeId="0">
      <text>
        <r>
          <rPr>
            <b/>
            <sz val="9"/>
            <color indexed="81"/>
            <rFont val="Tahoma"/>
            <family val="2"/>
          </rPr>
          <t>Moreno, Fernando:</t>
        </r>
        <r>
          <rPr>
            <sz val="9"/>
            <color indexed="81"/>
            <rFont val="Tahoma"/>
            <family val="2"/>
          </rPr>
          <t xml:space="preserve">
assume 5 days of week service
260 days/ year
355 tons/day*260 days=92,300tons</t>
        </r>
      </text>
    </comment>
    <comment ref="L5" authorId="2" shapeId="0">
      <text>
        <r>
          <rPr>
            <b/>
            <sz val="9"/>
            <color indexed="81"/>
            <rFont val="Tahoma"/>
            <family val="2"/>
          </rPr>
          <t>Purington, Elizabeth:</t>
        </r>
        <r>
          <rPr>
            <sz val="9"/>
            <color indexed="81"/>
            <rFont val="Tahoma"/>
            <family val="2"/>
          </rPr>
          <t xml:space="preserve">
Took from 2021 SWFP, not SWIS</t>
        </r>
      </text>
    </comment>
    <comment ref="K6" authorId="0" shapeId="0">
      <text>
        <r>
          <rPr>
            <b/>
            <sz val="9"/>
            <color indexed="81"/>
            <rFont val="Tahoma"/>
            <family val="2"/>
          </rPr>
          <t>Moreno, Fernando:</t>
        </r>
        <r>
          <rPr>
            <sz val="9"/>
            <color indexed="81"/>
            <rFont val="Tahoma"/>
            <family val="2"/>
          </rPr>
          <t xml:space="preserve">
1252 cubic yards of manure per ton
assume 5 days of week or 260 days a year
520 cubic yards/day*260=135,200cubic yards/year*(1252/2000)=84,635.2ton/year
using permitted capacity</t>
        </r>
      </text>
    </comment>
    <comment ref="M6" authorId="0" shapeId="0">
      <text>
        <r>
          <rPr>
            <b/>
            <sz val="9"/>
            <color indexed="81"/>
            <rFont val="Tahoma"/>
            <family val="2"/>
          </rPr>
          <t>Moreno, Fernando:</t>
        </r>
        <r>
          <rPr>
            <sz val="9"/>
            <color indexed="81"/>
            <rFont val="Tahoma"/>
            <family val="2"/>
          </rPr>
          <t xml:space="preserve">
1252 cubic yards of manure  per ton
120,000cubic yards/year*(1252/2000)=</t>
        </r>
      </text>
    </comment>
    <comment ref="K8" authorId="0" shapeId="0">
      <text>
        <r>
          <rPr>
            <b/>
            <sz val="9"/>
            <color indexed="81"/>
            <rFont val="Tahoma"/>
            <family val="2"/>
          </rPr>
          <t>Moreno, Fernando:</t>
        </r>
        <r>
          <rPr>
            <sz val="9"/>
            <color indexed="81"/>
            <rFont val="Tahoma"/>
            <family val="2"/>
          </rPr>
          <t xml:space="preserve">
</t>
        </r>
        <r>
          <rPr>
            <b/>
            <sz val="9"/>
            <color indexed="81"/>
            <rFont val="Tahoma"/>
            <family val="2"/>
          </rPr>
          <t xml:space="preserve">(1500 cubic yards/month)
</t>
        </r>
        <r>
          <rPr>
            <sz val="9"/>
            <color indexed="81"/>
            <rFont val="Tahoma"/>
            <family val="2"/>
          </rPr>
          <t>250 cubic yards of green waste per ton.
(1500cubicyards)*(12months/year)=
18,000cubicyards/year
(18,000cubicyards)*(250cubicyards/2000)=2,250tons/year</t>
        </r>
      </text>
    </comment>
    <comment ref="K9" authorId="0" shapeId="0">
      <text>
        <r>
          <rPr>
            <b/>
            <sz val="9"/>
            <color indexed="81"/>
            <rFont val="Tahoma"/>
            <family val="2"/>
          </rPr>
          <t>Moreno, Fernando:</t>
        </r>
        <r>
          <rPr>
            <sz val="9"/>
            <color indexed="81"/>
            <rFont val="Tahoma"/>
            <family val="2"/>
          </rPr>
          <t xml:space="preserve">
250 cubic yards of greenwaste
assume 5 days of week service or 260 days a year
5000cubic yards*260=1,300,000cubi yards/year*(250/2000)=162,500tons/year
using permitted capacity - this seems to high</t>
        </r>
      </text>
    </comment>
    <comment ref="K11" authorId="0" shapeId="0">
      <text>
        <r>
          <rPr>
            <b/>
            <sz val="9"/>
            <color indexed="81"/>
            <rFont val="Tahoma"/>
            <family val="2"/>
          </rPr>
          <t>Moreno, Fernando:</t>
        </r>
        <r>
          <rPr>
            <sz val="9"/>
            <color indexed="81"/>
            <rFont val="Tahoma"/>
            <family val="2"/>
          </rPr>
          <t xml:space="preserve">
1252 cubic yards per ton of manure
260 days per year of operation
</t>
        </r>
        <r>
          <rPr>
            <b/>
            <sz val="9"/>
            <color indexed="81"/>
            <rFont val="Tahoma"/>
            <family val="2"/>
          </rPr>
          <t>110cubic yards/day</t>
        </r>
        <r>
          <rPr>
            <sz val="9"/>
            <color indexed="81"/>
            <rFont val="Tahoma"/>
            <family val="2"/>
          </rPr>
          <t>*260=28,600cubic yards*(1252/2000)=17903tons/year
using permitted capacity, other is too much</t>
        </r>
      </text>
    </comment>
    <comment ref="M11" authorId="0" shapeId="0">
      <text>
        <r>
          <rPr>
            <b/>
            <sz val="9"/>
            <color indexed="81"/>
            <rFont val="Tahoma"/>
            <family val="2"/>
          </rPr>
          <t>Moreno, Fernando:</t>
        </r>
        <r>
          <rPr>
            <sz val="9"/>
            <color indexed="81"/>
            <rFont val="Tahoma"/>
            <family val="2"/>
          </rPr>
          <t xml:space="preserve">
1252 cubic yards/ton of manure
20,000cubic yards/year*(1252/2000)=12520tons/year</t>
        </r>
      </text>
    </comment>
    <comment ref="K13" authorId="1" shapeId="0">
      <text>
        <r>
          <rPr>
            <b/>
            <sz val="9"/>
            <color indexed="81"/>
            <rFont val="Tahoma"/>
            <family val="2"/>
          </rPr>
          <t>Bills, Tracie:</t>
        </r>
        <r>
          <rPr>
            <sz val="9"/>
            <color indexed="81"/>
            <rFont val="Tahoma"/>
            <family val="2"/>
          </rPr>
          <t xml:space="preserve">
assume per year, small facility.
(40,000 cy)*(250/2000)=5,000tons</t>
        </r>
      </text>
    </comment>
    <comment ref="M13" authorId="1" shapeId="0">
      <text>
        <r>
          <rPr>
            <b/>
            <sz val="9"/>
            <color indexed="81"/>
            <rFont val="Tahoma"/>
            <family val="2"/>
          </rPr>
          <t>Bills, Tracie:</t>
        </r>
        <r>
          <rPr>
            <sz val="9"/>
            <color indexed="81"/>
            <rFont val="Tahoma"/>
            <family val="2"/>
          </rPr>
          <t xml:space="preserve">
assume per year, small facility.
(40,000 cy)*(250/2000)=5,000tons</t>
        </r>
      </text>
    </comment>
    <comment ref="K14" authorId="0" shapeId="0">
      <text>
        <r>
          <rPr>
            <b/>
            <sz val="9"/>
            <color indexed="81"/>
            <rFont val="Tahoma"/>
            <family val="2"/>
          </rPr>
          <t>Moreno, Fernando:</t>
        </r>
        <r>
          <rPr>
            <sz val="9"/>
            <color indexed="81"/>
            <rFont val="Tahoma"/>
            <family val="2"/>
          </rPr>
          <t xml:space="preserve">
assume 260 days per year
1000tons/per day *260=260000tons year
using permitted capacity</t>
        </r>
      </text>
    </comment>
    <comment ref="M14" authorId="0" shapeId="0">
      <text>
        <r>
          <rPr>
            <b/>
            <sz val="9"/>
            <color indexed="81"/>
            <rFont val="Tahoma"/>
            <family val="2"/>
          </rPr>
          <t>Moreno, Fernando:</t>
        </r>
        <r>
          <rPr>
            <sz val="9"/>
            <color indexed="81"/>
            <rFont val="Tahoma"/>
            <family val="2"/>
          </rPr>
          <t xml:space="preserve">
1252 cubic yards per ton of manure
10,000cubic yards annually*1252/2000=</t>
        </r>
      </text>
    </comment>
  </commentList>
</comments>
</file>

<file path=xl/comments9.xml><?xml version="1.0" encoding="utf-8"?>
<comments xmlns="http://schemas.openxmlformats.org/spreadsheetml/2006/main">
  <authors>
    <author>Moreno, Fernando</author>
    <author>Purington, Elizabeth</author>
  </authors>
  <commentList>
    <comment ref="K2" authorId="0" shapeId="0">
      <text>
        <r>
          <rPr>
            <b/>
            <sz val="9"/>
            <color indexed="81"/>
            <rFont val="Tahoma"/>
            <family val="2"/>
          </rPr>
          <t>Moreno, Fernando:</t>
        </r>
        <r>
          <rPr>
            <sz val="9"/>
            <color indexed="81"/>
            <rFont val="Tahoma"/>
            <family val="2"/>
          </rPr>
          <t xml:space="preserve">
Assuming 5 days of week service
260 days a year
71tons/day*260=18,460</t>
        </r>
      </text>
    </comment>
    <comment ref="K3" authorId="0" shapeId="0">
      <text>
        <r>
          <rPr>
            <b/>
            <sz val="12"/>
            <color indexed="81"/>
            <rFont val="Tahoma"/>
            <family val="2"/>
          </rPr>
          <t>Moreno, Fernando:</t>
        </r>
        <r>
          <rPr>
            <sz val="12"/>
            <color indexed="81"/>
            <rFont val="Tahoma"/>
            <family val="2"/>
          </rPr>
          <t xml:space="preserve">
5 days of week service
260 days a year
250tons/day*260 days=65,000tons per year
too much, using permitted capacity</t>
        </r>
      </text>
    </comment>
    <comment ref="M3" authorId="0" shapeId="0">
      <text>
        <r>
          <rPr>
            <b/>
            <sz val="12"/>
            <color indexed="81"/>
            <rFont val="Tahoma"/>
            <family val="2"/>
          </rPr>
          <t>Moreno, Fernando:</t>
        </r>
        <r>
          <rPr>
            <sz val="12"/>
            <color indexed="81"/>
            <rFont val="Tahoma"/>
            <family val="2"/>
          </rPr>
          <t xml:space="preserve">
100 tpd or 700 tpw 
260 days of service per year
</t>
        </r>
        <r>
          <rPr>
            <b/>
            <sz val="12"/>
            <color indexed="81"/>
            <rFont val="Tahoma"/>
            <family val="2"/>
          </rPr>
          <t>700 tpw * 52 weeks = 36,400</t>
        </r>
      </text>
    </comment>
    <comment ref="K4" authorId="0" shapeId="0">
      <text>
        <r>
          <rPr>
            <b/>
            <sz val="9"/>
            <color indexed="81"/>
            <rFont val="Tahoma"/>
            <family val="2"/>
          </rPr>
          <t>Moreno, Fernando:</t>
        </r>
        <r>
          <rPr>
            <sz val="9"/>
            <color indexed="81"/>
            <rFont val="Tahoma"/>
            <family val="2"/>
          </rPr>
          <t xml:space="preserve">
assumed per year because it said not listed</t>
        </r>
      </text>
    </comment>
    <comment ref="K5" authorId="0" shapeId="0">
      <text>
        <r>
          <rPr>
            <b/>
            <sz val="12"/>
            <color indexed="81"/>
            <rFont val="Tahoma"/>
            <family val="2"/>
          </rPr>
          <t>Moreno, Fernando:</t>
        </r>
        <r>
          <rPr>
            <sz val="12"/>
            <color indexed="81"/>
            <rFont val="Tahoma"/>
            <family val="2"/>
          </rPr>
          <t xml:space="preserve">
5 days of week operation
260 days a year
</t>
        </r>
        <r>
          <rPr>
            <b/>
            <sz val="12"/>
            <color indexed="81"/>
            <rFont val="Tahoma"/>
            <family val="2"/>
          </rPr>
          <t>(500tons/day</t>
        </r>
        <r>
          <rPr>
            <sz val="12"/>
            <color indexed="81"/>
            <rFont val="Tahoma"/>
            <family val="2"/>
          </rPr>
          <t>)*260days=130,000
too much, will use permitted capacity</t>
        </r>
      </text>
    </comment>
    <comment ref="M5" authorId="0" shapeId="0">
      <text>
        <r>
          <rPr>
            <b/>
            <sz val="12"/>
            <color indexed="81"/>
            <rFont val="Tahoma"/>
            <family val="2"/>
          </rPr>
          <t xml:space="preserve">Moreno, Fernando:
200,000cubic yards/year
</t>
        </r>
        <r>
          <rPr>
            <sz val="12"/>
            <color indexed="81"/>
            <rFont val="Tahoma"/>
            <family val="2"/>
          </rPr>
          <t>250 cubic yards of greenwaste per ton
200,000cubic yards per year *(250/2000)=25,000tons/year</t>
        </r>
      </text>
    </comment>
    <comment ref="K6" authorId="0" shapeId="0">
      <text>
        <r>
          <rPr>
            <b/>
            <sz val="9"/>
            <color indexed="81"/>
            <rFont val="Tahoma"/>
            <family val="2"/>
          </rPr>
          <t xml:space="preserve">Moreno, Fernand0
</t>
        </r>
        <r>
          <rPr>
            <sz val="9"/>
            <color indexed="81"/>
            <rFont val="Tahoma"/>
            <family val="2"/>
          </rPr>
          <t>250 cubic yards of green waste per ton
(12500cubic yards/not listed)*250/2000=12562 "assumed a year"</t>
        </r>
      </text>
    </comment>
    <comment ref="L7" authorId="1" shapeId="0">
      <text>
        <r>
          <rPr>
            <b/>
            <sz val="9"/>
            <color indexed="81"/>
            <rFont val="Tahoma"/>
            <family val="2"/>
          </rPr>
          <t>Purington, Elizabeth:</t>
        </r>
        <r>
          <rPr>
            <sz val="9"/>
            <color indexed="81"/>
            <rFont val="Tahoma"/>
            <family val="2"/>
          </rPr>
          <t xml:space="preserve">
From EA Notification</t>
        </r>
      </text>
    </comment>
    <comment ref="M8" authorId="0" shapeId="0">
      <text>
        <r>
          <rPr>
            <b/>
            <sz val="9"/>
            <color indexed="81"/>
            <rFont val="Tahoma"/>
            <family val="2"/>
          </rPr>
          <t>Moreno, Fernando:</t>
        </r>
        <r>
          <rPr>
            <sz val="9"/>
            <color indexed="81"/>
            <rFont val="Tahoma"/>
            <family val="2"/>
          </rPr>
          <t xml:space="preserve">
assumed a year</t>
        </r>
      </text>
    </comment>
    <comment ref="K10" authorId="0" shapeId="0">
      <text>
        <r>
          <rPr>
            <b/>
            <sz val="12"/>
            <color indexed="81"/>
            <rFont val="Tahoma"/>
            <family val="2"/>
          </rPr>
          <t>Moreno, Fernando:</t>
        </r>
        <r>
          <rPr>
            <sz val="12"/>
            <color indexed="81"/>
            <rFont val="Tahoma"/>
            <family val="2"/>
          </rPr>
          <t xml:space="preserve">
250 cubic yards pof greenwaste per ton
(3000cubic yards/day)*260days/year=
780,000cubic yards/year*(250/2000)=97,500tons/year
too much, using permitted capacity</t>
        </r>
      </text>
    </comment>
    <comment ref="M10" authorId="0" shapeId="0">
      <text>
        <r>
          <rPr>
            <b/>
            <sz val="12"/>
            <color indexed="81"/>
            <rFont val="Tahoma"/>
            <family val="2"/>
          </rPr>
          <t>Moreno, Fernando:</t>
        </r>
        <r>
          <rPr>
            <sz val="12"/>
            <color indexed="81"/>
            <rFont val="Tahoma"/>
            <family val="2"/>
          </rPr>
          <t xml:space="preserve">
250 cubic yards per ton
156,000cubic yards/year*(250/2000)=19,500tons</t>
        </r>
      </text>
    </comment>
    <comment ref="K12" authorId="0" shapeId="0">
      <text>
        <r>
          <rPr>
            <b/>
            <sz val="9"/>
            <color indexed="81"/>
            <rFont val="Tahoma"/>
            <family val="2"/>
          </rPr>
          <t>Moreno, Fernando:</t>
        </r>
        <r>
          <rPr>
            <sz val="9"/>
            <color indexed="81"/>
            <rFont val="Tahoma"/>
            <family val="2"/>
          </rPr>
          <t xml:space="preserve">
assuming 260 days a year service
260*</t>
        </r>
        <r>
          <rPr>
            <b/>
            <sz val="9"/>
            <color indexed="81"/>
            <rFont val="Tahoma"/>
            <family val="2"/>
          </rPr>
          <t>(10tons/day)</t>
        </r>
        <r>
          <rPr>
            <sz val="9"/>
            <color indexed="81"/>
            <rFont val="Tahoma"/>
            <family val="2"/>
          </rPr>
          <t>=2600tons /year</t>
        </r>
      </text>
    </comment>
    <comment ref="M12" authorId="0" shapeId="0">
      <text>
        <r>
          <rPr>
            <b/>
            <sz val="9"/>
            <color indexed="81"/>
            <rFont val="Tahoma"/>
            <family val="2"/>
          </rPr>
          <t>Moreno, Fernando:</t>
        </r>
        <r>
          <rPr>
            <sz val="9"/>
            <color indexed="81"/>
            <rFont val="Tahoma"/>
            <family val="2"/>
          </rPr>
          <t xml:space="preserve">
assuming 260 days a year service
260*</t>
        </r>
        <r>
          <rPr>
            <b/>
            <sz val="9"/>
            <color indexed="81"/>
            <rFont val="Tahoma"/>
            <family val="2"/>
          </rPr>
          <t>(10tons/day)</t>
        </r>
        <r>
          <rPr>
            <sz val="9"/>
            <color indexed="81"/>
            <rFont val="Tahoma"/>
            <family val="2"/>
          </rPr>
          <t>=2600tons /year</t>
        </r>
      </text>
    </comment>
    <comment ref="K13" authorId="0" shapeId="0">
      <text>
        <r>
          <rPr>
            <b/>
            <sz val="9"/>
            <color indexed="81"/>
            <rFont val="Tahoma"/>
            <family val="2"/>
          </rPr>
          <t>Moreno, Fernando:</t>
        </r>
        <r>
          <rPr>
            <sz val="9"/>
            <color indexed="81"/>
            <rFont val="Tahoma"/>
            <family val="2"/>
          </rPr>
          <t xml:space="preserve">
assuming 260 days a year service
260</t>
        </r>
        <r>
          <rPr>
            <b/>
            <sz val="9"/>
            <color indexed="81"/>
            <rFont val="Tahoma"/>
            <family val="2"/>
          </rPr>
          <t>*(175tons/day)=</t>
        </r>
        <r>
          <rPr>
            <sz val="9"/>
            <color indexed="81"/>
            <rFont val="Tahoma"/>
            <family val="2"/>
          </rPr>
          <t>45,500tons/year</t>
        </r>
      </text>
    </comment>
    <comment ref="M13" authorId="0" shapeId="0">
      <text>
        <r>
          <rPr>
            <b/>
            <sz val="9"/>
            <color indexed="81"/>
            <rFont val="Tahoma"/>
            <family val="2"/>
          </rPr>
          <t>Moreno, Fernando:</t>
        </r>
        <r>
          <rPr>
            <sz val="9"/>
            <color indexed="81"/>
            <rFont val="Tahoma"/>
            <family val="2"/>
          </rPr>
          <t xml:space="preserve">
12mmonths/year
</t>
        </r>
        <r>
          <rPr>
            <b/>
            <sz val="9"/>
            <color indexed="81"/>
            <rFont val="Tahoma"/>
            <family val="2"/>
          </rPr>
          <t>5250tons/mon</t>
        </r>
        <r>
          <rPr>
            <sz val="9"/>
            <color indexed="81"/>
            <rFont val="Tahoma"/>
            <family val="2"/>
          </rPr>
          <t>th*12=</t>
        </r>
      </text>
    </comment>
  </commentList>
</comments>
</file>

<file path=xl/sharedStrings.xml><?xml version="1.0" encoding="utf-8"?>
<sst xmlns="http://schemas.openxmlformats.org/spreadsheetml/2006/main" count="2289" uniqueCount="780">
  <si>
    <t>SWIS Number</t>
  </si>
  <si>
    <t>Name of Facility</t>
  </si>
  <si>
    <t>Type of Facility</t>
  </si>
  <si>
    <t>County</t>
  </si>
  <si>
    <t>Address</t>
  </si>
  <si>
    <t>City</t>
  </si>
  <si>
    <t>Business Name</t>
  </si>
  <si>
    <t>Material  Accepted</t>
  </si>
  <si>
    <t>Operational Status</t>
  </si>
  <si>
    <t>Units</t>
  </si>
  <si>
    <t>Permit Capacity</t>
  </si>
  <si>
    <t>Quantity of Organic Materials Used as ADC</t>
  </si>
  <si>
    <t>Notes</t>
  </si>
  <si>
    <t>35-AA-0029</t>
  </si>
  <si>
    <t>Clean Green Recycling</t>
  </si>
  <si>
    <t>Chipping and Grinding Activity Facility/Operations</t>
  </si>
  <si>
    <t>San Benito</t>
  </si>
  <si>
    <t>5890 San Felipe Road</t>
  </si>
  <si>
    <t>Hollister</t>
  </si>
  <si>
    <t>Active</t>
  </si>
  <si>
    <t>Tons/year</t>
  </si>
  <si>
    <t>35-AA-0026</t>
  </si>
  <si>
    <t>Comgro, Inc.</t>
  </si>
  <si>
    <t xml:space="preserve">Composting Facility (Agricultural) </t>
  </si>
  <si>
    <t>5501 Frazier Lake Road</t>
  </si>
  <si>
    <t>Agricultural, Manure</t>
  </si>
  <si>
    <t>35-AA-0021</t>
  </si>
  <si>
    <t>Herbert Compost Operation</t>
  </si>
  <si>
    <t>Composting Facility (Agricultural)</t>
  </si>
  <si>
    <t>Agricultural, Green Waste, Manure</t>
  </si>
  <si>
    <t>Tons/day</t>
  </si>
  <si>
    <t>35-AA-0025</t>
  </si>
  <si>
    <t>Phil Foster Ranch Composting Operation</t>
  </si>
  <si>
    <t xml:space="preserve">Composting Facility (Green Waste) </t>
  </si>
  <si>
    <t>3065 Santa Ana Valley Road</t>
  </si>
  <si>
    <t>35-AA-0032</t>
  </si>
  <si>
    <t>Central Coast Compost LLC</t>
  </si>
  <si>
    <t>35-AA-0033</t>
  </si>
  <si>
    <t>Doodlebug Ranches LLC dba Paicines Ranch</t>
  </si>
  <si>
    <t>13388 Old Airline Highway</t>
  </si>
  <si>
    <t>Paicines</t>
  </si>
  <si>
    <t>Agricultural</t>
  </si>
  <si>
    <t>27-AA-0085</t>
  </si>
  <si>
    <t>Gabilan Ag Services</t>
  </si>
  <si>
    <t>Composting Facility (Mixed)</t>
  </si>
  <si>
    <t>Monterey</t>
  </si>
  <si>
    <t>14201 Del Monte Blvd.</t>
  </si>
  <si>
    <t>Marina</t>
  </si>
  <si>
    <t xml:space="preserve">Green Waste, Food Waste, Agricultural </t>
  </si>
  <si>
    <t>Unknown but potential</t>
  </si>
  <si>
    <t>27-AA-0086</t>
  </si>
  <si>
    <t>Guziks Good Humus</t>
  </si>
  <si>
    <t>27921  Iverson Road</t>
  </si>
  <si>
    <t>Gonzales</t>
  </si>
  <si>
    <t>Agricultural,  Green Waste, Manure</t>
  </si>
  <si>
    <t>Tons/not listed</t>
  </si>
  <si>
    <t>27-AA-0005</t>
  </si>
  <si>
    <t>Johnson Canyon Sanitary Landfill</t>
  </si>
  <si>
    <t xml:space="preserve">Composting Facility (Other) </t>
  </si>
  <si>
    <t>31400 Johnson Canyon Road</t>
  </si>
  <si>
    <t>Green Waste, Food Waste</t>
  </si>
  <si>
    <t>Not Listed</t>
  </si>
  <si>
    <t>27-AA-0010</t>
  </si>
  <si>
    <t>Monterey Peninsula Landfill</t>
  </si>
  <si>
    <t xml:space="preserve">Composting Facility (Mixed)        </t>
  </si>
  <si>
    <t>14201  Del Monte Blvd.</t>
  </si>
  <si>
    <t>27-AA-0094</t>
  </si>
  <si>
    <t>Randazzo Enterprises</t>
  </si>
  <si>
    <t>13550 Blackie Road</t>
  </si>
  <si>
    <t>Castroville</t>
  </si>
  <si>
    <t>Wood Waste</t>
  </si>
  <si>
    <t>Tons/month</t>
  </si>
  <si>
    <t>27-AA-0109</t>
  </si>
  <si>
    <t>Converted Organics of California, LLC</t>
  </si>
  <si>
    <t xml:space="preserve">31677 Johnson Canyon Road </t>
  </si>
  <si>
    <t xml:space="preserve">Agricultural, Green Waste, Food Waste </t>
  </si>
  <si>
    <t>Unknown</t>
  </si>
  <si>
    <t>27-AA-0119</t>
  </si>
  <si>
    <t>Composting Facility (Other)</t>
  </si>
  <si>
    <t>26775 Old Stage Rd.</t>
  </si>
  <si>
    <t>Food Waste</t>
  </si>
  <si>
    <t>27-AA-0096</t>
  </si>
  <si>
    <t>Gabilan Fertilizer Moonglow Dairy</t>
  </si>
  <si>
    <t>357 Dolan Road</t>
  </si>
  <si>
    <t>Moss Landing</t>
  </si>
  <si>
    <t>27-AA-0107</t>
  </si>
  <si>
    <t>Monterey Mushrooms</t>
  </si>
  <si>
    <t>777  Maher Court</t>
  </si>
  <si>
    <t>Aromas</t>
  </si>
  <si>
    <t>27-AA-0124</t>
  </si>
  <si>
    <t>Gonzales Compost Operations</t>
  </si>
  <si>
    <t xml:space="preserve">Composting Facility (Green Waste)  </t>
  </si>
  <si>
    <t>Short Rd.</t>
  </si>
  <si>
    <t>Agricultural, Green Waste</t>
  </si>
  <si>
    <t>24-AA-0042</t>
  </si>
  <si>
    <t>Agromin-Bowles Green Material Composting</t>
  </si>
  <si>
    <t>Merced</t>
  </si>
  <si>
    <t>13000 Carlucci Road</t>
  </si>
  <si>
    <t>Dos Palos</t>
  </si>
  <si>
    <t>Green Waste, Agricultural</t>
  </si>
  <si>
    <t>24-AA-0029</t>
  </si>
  <si>
    <t>Billy Wright Composting Facility</t>
  </si>
  <si>
    <t>17173 Billy Wright Road</t>
  </si>
  <si>
    <t>Los Banos</t>
  </si>
  <si>
    <t>24-AA-0038</t>
  </si>
  <si>
    <t>Green Forrest Recycling and Chipping</t>
  </si>
  <si>
    <t>19230 S. Spruce Road</t>
  </si>
  <si>
    <t>44-AA-0009</t>
  </si>
  <si>
    <t>Ben Lomond LF  Wood Waste Chipping Op.</t>
  </si>
  <si>
    <t>Composting  Facility (Green Waste)</t>
  </si>
  <si>
    <t>Santa Cruz</t>
  </si>
  <si>
    <t>Ben Lomond</t>
  </si>
  <si>
    <t>Green Waste, Wood Waste</t>
  </si>
  <si>
    <t>44-AA-0001</t>
  </si>
  <si>
    <t>City of Santa Cruz Resource Recovery Fac</t>
  </si>
  <si>
    <t>605 Dimeo Lane</t>
  </si>
  <si>
    <t>44-AA-0014</t>
  </si>
  <si>
    <t>Fitz Fresh Mushroom Farm Compost Op.</t>
  </si>
  <si>
    <t>211 Lee Road</t>
  </si>
  <si>
    <t>Watsonville</t>
  </si>
  <si>
    <t>44-AA-0013</t>
  </si>
  <si>
    <t>Rodoni Farms Agricultural Composting Op.</t>
  </si>
  <si>
    <t>395 Dimeo Lane</t>
  </si>
  <si>
    <t>44-AA-0004</t>
  </si>
  <si>
    <t>Buena Vista Drive Sanitary Landfill</t>
  </si>
  <si>
    <t xml:space="preserve">Santa Cruz  </t>
  </si>
  <si>
    <t xml:space="preserve">150 Roundtree Lane (Office Address)  </t>
  </si>
  <si>
    <t>50-AA-0018</t>
  </si>
  <si>
    <t>Modesto Co-Compost Facility</t>
  </si>
  <si>
    <t>Stanislaus</t>
  </si>
  <si>
    <t>7001 Jennings Road</t>
  </si>
  <si>
    <t>Modesto</t>
  </si>
  <si>
    <t>50-AA-0016</t>
  </si>
  <si>
    <t>Gilton Resource Recovery Composting Fac.</t>
  </si>
  <si>
    <t>800 S. McClure Road</t>
  </si>
  <si>
    <t>50-AA-0015</t>
  </si>
  <si>
    <t>Recology Blossom Valley Organics N Hamme</t>
  </si>
  <si>
    <t>6133 Hammet Court</t>
  </si>
  <si>
    <t>Green Waste</t>
  </si>
  <si>
    <t>50-AA-0020</t>
  </si>
  <si>
    <t>Recology Blossom Valley Organics N Verna</t>
  </si>
  <si>
    <t>3909 Gaffery Road</t>
  </si>
  <si>
    <t>Vernalis</t>
  </si>
  <si>
    <t>Food Waste, Green Waste</t>
  </si>
  <si>
    <t>50-AA-0049</t>
  </si>
  <si>
    <t>3D Ag, LLC</t>
  </si>
  <si>
    <t>5230 Patterson Road</t>
  </si>
  <si>
    <t>Oakdale</t>
  </si>
  <si>
    <t>Agricultural, Green Waste, Manure, Wood Waste</t>
  </si>
  <si>
    <t>50-AA-0048</t>
  </si>
  <si>
    <t>CA Soils, Inc</t>
  </si>
  <si>
    <t>3401 Gaffery Road</t>
  </si>
  <si>
    <t>50-AA-0024</t>
  </si>
  <si>
    <t>Central Valley Agricultural Grinding, Inc</t>
  </si>
  <si>
    <t>5707 Langworth Road</t>
  </si>
  <si>
    <t>Riverbank</t>
  </si>
  <si>
    <t>50-AA-0050</t>
  </si>
  <si>
    <t>Eleanor Ranch</t>
  </si>
  <si>
    <t>5954 Eleanor Road</t>
  </si>
  <si>
    <t xml:space="preserve">Agricultural, Green Waste, Wood Waste                                                                                                        </t>
  </si>
  <si>
    <t>41-AA-0200</t>
  </si>
  <si>
    <t>Davey Tree Expert Company</t>
  </si>
  <si>
    <t>San Mateo</t>
  </si>
  <si>
    <t>2300 Hillside Blvd</t>
  </si>
  <si>
    <t>Colma</t>
  </si>
  <si>
    <t>41-AA-0196</t>
  </si>
  <si>
    <t>Redwood Debris Box Green Waste Operation</t>
  </si>
  <si>
    <t>1 Beeger Road</t>
  </si>
  <si>
    <t>Redwood City</t>
  </si>
  <si>
    <t>41-AA-0192</t>
  </si>
  <si>
    <t>Wheeler Farms Equine Waste Composting Op</t>
  </si>
  <si>
    <t>3781-3800 La Honda Road</t>
  </si>
  <si>
    <t>San Gregorio</t>
  </si>
  <si>
    <t>41-AA-0197</t>
  </si>
  <si>
    <t>Bay Area Organic Green Waste T/S</t>
  </si>
  <si>
    <t>766 Warrington Ave.</t>
  </si>
  <si>
    <t>AgroThrive, Inc.</t>
  </si>
  <si>
    <t>Eade Ranch</t>
  </si>
  <si>
    <t>27-AA-0095</t>
  </si>
  <si>
    <t>10-AA-0201</t>
  </si>
  <si>
    <t>10-AA-0199</t>
  </si>
  <si>
    <t>Green Valley Recycling</t>
  </si>
  <si>
    <t>10-AA-0182</t>
  </si>
  <si>
    <t>Gallo Vineyards, Inc Compost Facility</t>
  </si>
  <si>
    <t>10-AA-0193</t>
  </si>
  <si>
    <t>Harris Ranch Feeding Company</t>
  </si>
  <si>
    <t>Chipping and Grinding Facility/Operation</t>
  </si>
  <si>
    <t>Fresno</t>
  </si>
  <si>
    <t>24-AA-0019</t>
  </si>
  <si>
    <t>Stone Family El Nido Composting Facility</t>
  </si>
  <si>
    <t>24-AA-0017</t>
  </si>
  <si>
    <t>Foster Farms Manure Storage Facility</t>
  </si>
  <si>
    <t>24-AA-0031</t>
  </si>
  <si>
    <t>Nakashima Farms Composting #1</t>
  </si>
  <si>
    <t>24-AA-0046</t>
  </si>
  <si>
    <t>Research Composting Operation</t>
  </si>
  <si>
    <t>24-AA-0020</t>
  </si>
  <si>
    <t>Highway 59 Compost Facility</t>
  </si>
  <si>
    <t>24-AA-0044</t>
  </si>
  <si>
    <t>Stone Family Paul`s 25 Compost Facility</t>
  </si>
  <si>
    <t>24-AA-0033</t>
  </si>
  <si>
    <t>Greenway</t>
  </si>
  <si>
    <t>24-AA-0011</t>
  </si>
  <si>
    <t>El Nido Composting Facility-Synagro West</t>
  </si>
  <si>
    <t>24-AA-0039</t>
  </si>
  <si>
    <t>D.A.T.T.</t>
  </si>
  <si>
    <t>24-AA-0045</t>
  </si>
  <si>
    <t>Seth Rossow</t>
  </si>
  <si>
    <t>43-AN-0007</t>
  </si>
  <si>
    <t>Zanker Road Resource Recovery Operation</t>
  </si>
  <si>
    <t>43-AA-0023</t>
  </si>
  <si>
    <t>Monterey Mushrooms - Morgan Hill</t>
  </si>
  <si>
    <t>43-AA-0027</t>
  </si>
  <si>
    <t>B and D Mushrooms, Inc.</t>
  </si>
  <si>
    <t>43-AA-0029</t>
  </si>
  <si>
    <t>PSSI Ag. Material Storage / Handling Op.</t>
  </si>
  <si>
    <t>43-AA-0026</t>
  </si>
  <si>
    <t>South Valley Mushroom Farm</t>
  </si>
  <si>
    <t>43-AA-0028</t>
  </si>
  <si>
    <t>Countryside Mushrooms, Inc.</t>
  </si>
  <si>
    <t>43-AA-0022</t>
  </si>
  <si>
    <t>Global Mushrooms Farm</t>
  </si>
  <si>
    <t>43-AN-0038</t>
  </si>
  <si>
    <t>Lam Hauling Inc. Chipping and Grinding</t>
  </si>
  <si>
    <t>Santa Clara</t>
  </si>
  <si>
    <t>50-AA-0054</t>
  </si>
  <si>
    <t>Midland Demolition</t>
  </si>
  <si>
    <t>16-AA-0022</t>
  </si>
  <si>
    <t>Kochergen Farms Composting</t>
  </si>
  <si>
    <t>16-AA-0026</t>
  </si>
  <si>
    <t>Tulare Lake Compost</t>
  </si>
  <si>
    <t>Kings</t>
  </si>
  <si>
    <t>Alameda</t>
  </si>
  <si>
    <t>10840 Altamont Pass Road</t>
  </si>
  <si>
    <t>Livermore</t>
  </si>
  <si>
    <t>Planned</t>
  </si>
  <si>
    <t>N/A</t>
  </si>
  <si>
    <t>01-AA-0326</t>
  </si>
  <si>
    <t>Bee Green Recycling &amp; Supply</t>
  </si>
  <si>
    <t>740 Julie Ann Way</t>
  </si>
  <si>
    <t>Oakland</t>
  </si>
  <si>
    <t>01-AA-0325</t>
  </si>
  <si>
    <t>Composting Facility (Altamont Landfill)</t>
  </si>
  <si>
    <t>01-AA-0310</t>
  </si>
  <si>
    <t>Tri-Cities Rec. and Disp. CD Chip/Grind</t>
  </si>
  <si>
    <t>7010 Auto Mall Pkwy</t>
  </si>
  <si>
    <t>Fremont</t>
  </si>
  <si>
    <t>01-AA-0308</t>
  </si>
  <si>
    <t xml:space="preserve">Vision Recycling  </t>
  </si>
  <si>
    <t xml:space="preserve">30 Greenville Road  </t>
  </si>
  <si>
    <t xml:space="preserve">Green Waste, Wood Waste </t>
  </si>
  <si>
    <t>01-AA-0313</t>
  </si>
  <si>
    <t>6756 Central Ave</t>
  </si>
  <si>
    <t>Newark</t>
  </si>
  <si>
    <t>01-AA-0331</t>
  </si>
  <si>
    <t>2477 Baumann Avenue</t>
  </si>
  <si>
    <t>San Lorenzo</t>
  </si>
  <si>
    <t>01-AA-0322</t>
  </si>
  <si>
    <t>Vision Recycling Green Waste Composting</t>
  </si>
  <si>
    <t>30 Greenville Road (B)</t>
  </si>
  <si>
    <t>East Bay Municipal Utilities District – Wastewater Treatment Plant</t>
  </si>
  <si>
    <t>California Grinding, Inc. Anaerobic Digestion Facility</t>
  </si>
  <si>
    <t>Hwy 198 East of San Lucas</t>
  </si>
  <si>
    <t>San Lucas</t>
  </si>
  <si>
    <t>Composting Facility (Green Waste)</t>
  </si>
  <si>
    <t>15300 West Jensen Avenue</t>
  </si>
  <si>
    <t>Kerman</t>
  </si>
  <si>
    <t>Not listed</t>
  </si>
  <si>
    <t>2365 East North Avenue</t>
  </si>
  <si>
    <t>5686 E Olive Ave</t>
  </si>
  <si>
    <t>29475 Fresno-Coalinga Road</t>
  </si>
  <si>
    <t>Coalinga</t>
  </si>
  <si>
    <t>Agromin
201 Kinetic Drive, Oxnard, CA 93030
PH: 209-827-3000</t>
  </si>
  <si>
    <t>Merced Co. Regional Waste Mgmt.
7040 North Highway 59  Merced, CA 95348
PH: 209-723-4481</t>
  </si>
  <si>
    <t>Frank Soares
PO Box 1743 Hollister, CA 95024
PH: NA</t>
  </si>
  <si>
    <t>San Jose</t>
  </si>
  <si>
    <t xml:space="preserve">San Leandro </t>
  </si>
  <si>
    <t>Vineyard Way At Grant Road</t>
  </si>
  <si>
    <t>Stone Family
5545 W. Shaw, Winton, CA 95388
PH: (209) 358-3200</t>
  </si>
  <si>
    <t>12997 W. Highway 140</t>
  </si>
  <si>
    <t>Atwater</t>
  </si>
  <si>
    <t>Foster Farms Manure Storage Yard
Terry Cooper 12997 W. Highway 140, Livingston, CA 95334
PH: (209) 394-5383</t>
  </si>
  <si>
    <t>12997 West Highway 140</t>
  </si>
  <si>
    <t>Livingston</t>
  </si>
  <si>
    <t>10397 West Walnut Avenue</t>
  </si>
  <si>
    <t>Nakashima Farms
Tom Nakashima 10397 West Walnut Avenue, Livingston, CA 95334
PH: (209) 761-3118</t>
  </si>
  <si>
    <t>7040 N. Highway 59</t>
  </si>
  <si>
    <t>5790 West Shaw Ave</t>
  </si>
  <si>
    <t>Winton</t>
  </si>
  <si>
    <t>Manure</t>
  </si>
  <si>
    <t>Composting Facility (Sludge)</t>
  </si>
  <si>
    <t>2983 East Washington Road</t>
  </si>
  <si>
    <t>El Nido</t>
  </si>
  <si>
    <t>13757 S. Harmon Road</t>
  </si>
  <si>
    <t>Food Waste, Green Waste, Biosolids/Sludge, Wood Waste</t>
  </si>
  <si>
    <t>Biosolids/Sludge, Agricultural, Manure</t>
  </si>
  <si>
    <t>Washington Rd. 3.8 miles W. of Hwy 59</t>
  </si>
  <si>
    <t>3521 E. Mariposa Way</t>
  </si>
  <si>
    <t>Gilroy</t>
  </si>
  <si>
    <t>1170 Diana Avenue</t>
  </si>
  <si>
    <t>Morgan Hill</t>
  </si>
  <si>
    <t xml:space="preserve">Not listed </t>
  </si>
  <si>
    <t>705 Los Esteros Road, Near Zanker Road</t>
  </si>
  <si>
    <t>642 Hale Avenue and Miramonte Avenue</t>
  </si>
  <si>
    <t>14255 Sycamore Avenue</t>
  </si>
  <si>
    <t>San Martin</t>
  </si>
  <si>
    <t>11300 Center Avenue</t>
  </si>
  <si>
    <t>5470 Frazier Lake Road</t>
  </si>
  <si>
    <t>Food Waste, Green Waste, Mixed Municipal</t>
  </si>
  <si>
    <t>3185 Alpine Road</t>
  </si>
  <si>
    <t>Stanford</t>
  </si>
  <si>
    <t>215 Leo Ave.</t>
  </si>
  <si>
    <t>Avenal Cutoff Rd. and Omaha Ave.</t>
  </si>
  <si>
    <t>Avenal</t>
  </si>
  <si>
    <t>N of Utica and 23rd Avenue</t>
  </si>
  <si>
    <t>Kettleman City</t>
  </si>
  <si>
    <t>Agricultural, Biosolids/Sludge, Green Waste, Manure, Wood Waste</t>
  </si>
  <si>
    <t>CGR-Clean Green Recycling
PO Box 2435  Hollister, CA 95024
Phone: 408-234-1785</t>
  </si>
  <si>
    <t>Comgro, Inc.
917 Boronda Rd Salinas, CA 93907
PO Box 4609 Salinas, CA 93912
Phone: 831-443-5700</t>
  </si>
  <si>
    <t>Pat, Herbert
1941  Fallon Road, Hollister, CA 95023
Phone: 831-637-9571</t>
  </si>
  <si>
    <t xml:space="preserve">Phil Foster Ranch, Composting
PO Box 249  San Juan Bautista, CA 95045
Phone: 831-632-2806 </t>
  </si>
  <si>
    <t>Central Coast Compost LLC
391 Hamss Rd., Watsonville, CA 95023
Phone: 831-809-6900</t>
  </si>
  <si>
    <t>Greg Richardson
13388 Old Airline Hwy, Paicines, CA 95403
Phone: 310-625-7072</t>
  </si>
  <si>
    <t>Keith Day Co. Inc. DBA Gabilan Fertilizer
1091 Madison Lane, Salinas, CA 93907
Phone: 831-771-0126</t>
  </si>
  <si>
    <t>The Good Humus Man
24505 Vereda Del Valle, Salinas, CA 93908
Phone: 408-484-2626</t>
  </si>
  <si>
    <t>Salinas Valley Solid Waste Authority
337 Melody Lane P O Box 2159, Salinas, CA 93901-2159
Phone: 831-755-1300</t>
  </si>
  <si>
    <t>Monterey Regional Waste Mgmt. District
14201  Del Monte Blvd., Marina, CA 93933
Phone: 831-384-5313</t>
  </si>
  <si>
    <t>Randazzo Enterprizes, Inc.
13550 Blackie Road, Castroville, CA 95012
Phone: 831-633-4420</t>
  </si>
  <si>
    <t>Agrothrive Inc.
26775 Old Stage Rd., Gonzales, CA 93926
Phone: 831-675-2853</t>
  </si>
  <si>
    <t>Gabilan Fertilizer
1091 Madson Lane, Salinas, CA 93907
Phone: 831-771-0126</t>
  </si>
  <si>
    <t>Monterey Mushrooms
777 Maher Ct., Royal Oaks, CA 95076
Phone: 831-728-8300</t>
  </si>
  <si>
    <t>Keith Day Co.Inc. DBA Gabilan Fertilizer
1091 Madison Lane, Salinas, CA 93907
Phone: 831-771-0126</t>
  </si>
  <si>
    <t>Mid Valley Disposal
Jay Kalpakoff 3444 Whitesbridge Road, Fresno, CA 93706
Phone: 559-237-9425</t>
  </si>
  <si>
    <t>Kochergen, Mike J.
2365 East North Avenue, Fresno, CA 93725
Phone: 559-266-2650</t>
  </si>
  <si>
    <t>Gallo Vineyards, Inc
5686 E. Olive Avenue, Fresno, CA 93727
Phone: 559-458-2565</t>
  </si>
  <si>
    <t>Harris Feeding Company
Route 1, P O Box 400 29475 Fresno - Coalinga Highway, Coalinga, CA
Phone: 599-884-2435</t>
  </si>
  <si>
    <t>Foster Poultry Farms
12997 West Highway 140, Livingston, CA 95334
Phone: 209-394-5366</t>
  </si>
  <si>
    <t>Merced County Regional Waste Management
7040 North Highway 59, Merced, CA 95348
Phone: 209-723-4481</t>
  </si>
  <si>
    <t>Kenneth Stone &amp; Family Spreading Source
Jim Pitcock 5175 W Shaw Ave, Winton, CA 95388
Phone: 209-358-3200</t>
  </si>
  <si>
    <t>Greenway
Anthony Freitas 24596 Rd. 19, Chowchilla, CA 93610
Phone: 559-351-5969</t>
  </si>
  <si>
    <t>Terra Gro Inc
1624 Pacheco Blvd., Los Banos, CA 93635
Phone: 209-826-3212</t>
  </si>
  <si>
    <t>D.A.T.T.
David Frazier 1224 P. St. Newman, CA 95360
Phone: 209-862-1618</t>
  </si>
  <si>
    <t>Seth Rossow
7745 E. Sandy Mush Road, Merced, CA 95341
Phone: 209-617-7755</t>
  </si>
  <si>
    <t>Zanker Road Resources Management, Ltd.
Greg Ryan 1500 Berger Drive, San Jose, CA 95112
Phone: 408-283-4804</t>
  </si>
  <si>
    <t>Monterey Mushrooms, Inc.
Tom Spaulding P. O. Box 818, Morgan Hill, CA 95038
Phone: 408-779-4191</t>
  </si>
  <si>
    <t>B and D Mushrooms, Inc.
14255 Sycamore Avenue, San Martin, CA 95046
Phone: 408-683-4248</t>
  </si>
  <si>
    <t>South Valley Mushroom Farm. Inc.
David Kubo 1220 Diana Avenue, Morgan Hill, CA 95037
Phone: 408-779-2682</t>
  </si>
  <si>
    <t>Goetz, Jim
11300 Center Avenue, Gilroy, CA 95020
Phone: 408-683-2748</t>
  </si>
  <si>
    <t>Global Mushrooms, Inc.
Cris Chavez, Plant Manager 5470 Fraizer Lake Road, Gilroy, CA 95020
Phone: 408-846-6466</t>
  </si>
  <si>
    <t>Lam Hauling Inc. DBA Leo Recycle
Tinh Lam 215 Leo Ave., San Jose, CA 95112
Phone: 408-647-1705</t>
  </si>
  <si>
    <t>County of Santa Cruz
701 Ocean St., Rm 410, Santa Cruz, CA 95060
Phone: 831-454-2160</t>
  </si>
  <si>
    <t>City of Santa Cruz
809 Center St., Rm 201, Santa Cruz, CA 95060
Phone: 831-420-5160</t>
  </si>
  <si>
    <t>Fitz Fresh, Inc.
211 Lee Rd., Watsonville, CA 95076
Phone: 831-763-4440</t>
  </si>
  <si>
    <t>M. Rodoni &amp; Co.
538 Arroyo Seco Santa Cruz, CA 95060
Phone: 831-426-0666</t>
  </si>
  <si>
    <t>County of Santa Cruz 
701 Ocean St., Rm 410, Santa Cruz, CA 95060
Phone: 831-454-5156</t>
  </si>
  <si>
    <t>City of Modesto / County of Stanislaus
P.O. Box 642, Modesto, CA 95353
Phone: 209-577-5494</t>
  </si>
  <si>
    <t>Gilton Resource Recovery Facility, Inc.
755 S. Yosemite Avenue, Oakdale, CA 95361
Phone: 209-527-3781</t>
  </si>
  <si>
    <t>Recology Blossom Valley Organics N. Hamm
PO Box 128, Westley, CA 95387
Phone: Not Listed</t>
  </si>
  <si>
    <t>Recology Blossom Valley Organics N. Vern
PO Box 128, Westley, CA 95387
Phone: None listed</t>
  </si>
  <si>
    <t>3D Ag, LLC
PO Box 1229, Riverbank, CA 95367
Phone: 209-614-3889</t>
  </si>
  <si>
    <t>CA Soils, Inc.
Phone: 209-835-9530</t>
  </si>
  <si>
    <t>Barry, Mike and Konzen, Paul
5507 Langworth Road, Oakdale, CA 95361
Phone: 209-869-1721</t>
  </si>
  <si>
    <t>Tom Dunlop
PO Box 1229 Riverbank, CA 95367
Phone: 209-614-3889</t>
  </si>
  <si>
    <t>Kochergen Farms
8163 W. Mckinley, Fresno, CA 93722
Phone: 559-277-8069</t>
  </si>
  <si>
    <t>Los Angeles County Sanitation Districts
1955 Workman Mill Road, Whittier 90601 P.O. Box 4998, Whittier, CA 90607
Phone: 562-699-7411</t>
  </si>
  <si>
    <t>Davey Tree Expert Company
1400 Mission Road, South San Francisco, CA 94014
Phone: 415-468-9180</t>
  </si>
  <si>
    <t>Redwood Building Materials
350 Lang Rd., Burlingame, CA 94010
Phone: 650-465-1944</t>
  </si>
  <si>
    <t>Wheeler Equine Waste Management
P.O. Box 19561, Stanford, CA 94309
Phone: 650-444-4959</t>
  </si>
  <si>
    <t>Elmer Cano
174 Broadway St., Redwood City, CA 94063
Phone: 650-714-8894</t>
  </si>
  <si>
    <t>Commercial Waste &amp; Recycling, LLC
725 Independent Road, Oakland, CA 94621
Phone: 510-636-0852</t>
  </si>
  <si>
    <t>Waste Mgmt. of Alameda Co.
10840 Altamont Pass Rd., Livermore, CA 94551
Phone: 925-455-7323</t>
  </si>
  <si>
    <t>Waste Management Of Alameda County
172-98th Avenue, Oakland, CA 94603
Phone: 510-613-8710</t>
  </si>
  <si>
    <t>TWDC Industries CORP dba Vision Recycling
41900 Boscell Rd., Fremont, CA 94538
Phone: 510-429-1300</t>
  </si>
  <si>
    <t>T.W.D.C. Industries Corp.
41900 Boscell Rd., Fremont, CA 94538
Phone: 510-429-1300</t>
  </si>
  <si>
    <t>TDRA Industries Inc dba Vision Recycling
41900 Boscell Road, Fremont, CA 94538
Phone: 510-429-1300</t>
  </si>
  <si>
    <t>1206 Shore Road</t>
  </si>
  <si>
    <t>9835 Newell Creek Road</t>
  </si>
  <si>
    <t>Municipal Solid Waste to Energy Project</t>
  </si>
  <si>
    <t>27-AA-0123</t>
  </si>
  <si>
    <t>Building 339, Fort Hunter Liggett</t>
  </si>
  <si>
    <t>Jolon</t>
  </si>
  <si>
    <t>Sierra Energy Corporation
Michael Hart 221 1st St., Davis, CA 95616
Phone: 530-759-9827</t>
  </si>
  <si>
    <t>Transformation Facility</t>
  </si>
  <si>
    <t xml:space="preserve">Mixed Municipal </t>
  </si>
  <si>
    <t>Converted Organics of California, LLC 
31677 Johnson Canyon Rd.
Gonzales,  CA  93926 
Phone: 831-675-8600</t>
  </si>
  <si>
    <t>Tons/Year</t>
  </si>
  <si>
    <t xml:space="preserve">Very little information available about this site in SWIS. Do not believe they accept material from the public. </t>
  </si>
  <si>
    <t>Table 1</t>
  </si>
  <si>
    <t>Summary of Facility Type by County</t>
  </si>
  <si>
    <t>Facility Type</t>
  </si>
  <si>
    <t>Anaerobic Digestion</t>
  </si>
  <si>
    <t>Composting Facility (Research)</t>
  </si>
  <si>
    <t>TOTAL</t>
  </si>
  <si>
    <t>Summary of Facilities by Material  Type by County</t>
  </si>
  <si>
    <t>Material Type</t>
  </si>
  <si>
    <t>Food Scraps</t>
  </si>
  <si>
    <t>Mixed MSW</t>
  </si>
  <si>
    <r>
      <rPr>
        <b/>
        <sz val="11"/>
        <color rgb="FF000000"/>
        <rFont val="Calibri"/>
        <family val="2"/>
      </rPr>
      <t xml:space="preserve">Biosolids Composting at POTWs </t>
    </r>
    <r>
      <rPr>
        <sz val="11"/>
        <color theme="1"/>
        <rFont val="Calibri"/>
        <family val="2"/>
        <scheme val="minor"/>
      </rPr>
      <t>(Publicly Operated Treatment Works)</t>
    </r>
  </si>
  <si>
    <r>
      <rPr>
        <b/>
        <sz val="11"/>
        <color rgb="FF000000"/>
        <rFont val="Calibri"/>
        <family val="2"/>
      </rPr>
      <t>Composting Facility (Mixed) -</t>
    </r>
    <r>
      <rPr>
        <sz val="11"/>
        <color theme="1"/>
        <rFont val="Calibri"/>
        <family val="2"/>
        <scheme val="minor"/>
      </rPr>
      <t xml:space="preserve"> A facility that composts sewage sludge, animal material, or green material, in addition to mixed solid waste</t>
    </r>
  </si>
  <si>
    <t>Bay Bridge</t>
  </si>
  <si>
    <t>Biosolids/Sludge</t>
  </si>
  <si>
    <t>Food Waste, Biosolids/Sludge, FOG</t>
  </si>
  <si>
    <t>01-AA-0007</t>
  </si>
  <si>
    <t>2615 Davis St</t>
  </si>
  <si>
    <t>Waste Mgt. Of Alameda Co.
2615 Davis Street, San Leandro, CA 94577
Phone: 510-657-2425</t>
  </si>
  <si>
    <t>Large Volume In-Vessel Digestion Facility</t>
  </si>
  <si>
    <t>41-AA-0185</t>
  </si>
  <si>
    <t>41-AA-0201</t>
  </si>
  <si>
    <t>Blue Line MRF And TS</t>
  </si>
  <si>
    <t>Silicon Valley Clean Water Black Cart AD</t>
  </si>
  <si>
    <t>Research In-Vessel Digestion Operation</t>
  </si>
  <si>
    <t>500 East Jamie Court</t>
  </si>
  <si>
    <t>South San Francisco</t>
  </si>
  <si>
    <t>Blue Line Transfer, Inc.
500 East Jamie Court, South San Francisco, CA 94080
Phone: 415-589-4020</t>
  </si>
  <si>
    <t>1400 Radio Road</t>
  </si>
  <si>
    <t>Silicon Valley Clean Water
1400 Radio Road, Redwood City, CA 94065
Phone: 650-832-6485</t>
  </si>
  <si>
    <t>Food Waste, Mixed Municipal</t>
  </si>
  <si>
    <t>50-AA-0053</t>
  </si>
  <si>
    <t>Organic Solution Mgmt. Co-Digester Op.</t>
  </si>
  <si>
    <t>Dairy In-Vessel Digestion Operation</t>
  </si>
  <si>
    <t>Food Waste, Manure</t>
  </si>
  <si>
    <t>4848 Jackson Road</t>
  </si>
  <si>
    <t>Organic Solution Management
4648 Jackson Road, Modesto, CA 95358
Phone: 765-532-1275</t>
  </si>
  <si>
    <t>Biosolids/Sludge, Food Waste, FOG</t>
  </si>
  <si>
    <t>The Altamont CASP can process up to 500 tons per day of green waste co-collected with food waste. Their website says that over the course of a year, 156,000 tons of materials will be diverted from the Altamont Landfill to be turned into compost. This is about 13,000 tons per month. SWIS records show that the average green waste tonnage received from 1/2022-3/2022 was about 9220 tons. 
The Altamont Landfill no longer accepts waste for disposal from outside the 9 Bay Area Counties (Alameda, Marin, Sonoma, Napa, Solano, Contra Costa, San Mateo, San Francisco, and Santa Clara), however there are no specific tonnage or origin limits on non-disposal tonnage such as ADC, reuse, recycle, or transfer materials.</t>
  </si>
  <si>
    <t>Vision Recycling has ceased operations at this site as of 1/1/2022. Site restoration has been completed.</t>
  </si>
  <si>
    <t>According to the site's operational plan, this facility only accepts pre-processed and pre-cleaned green material from other Vision Recycling facilities. The facility is an internal compost producing facility and is not open to the public. The material undergoes the composting process at this site, and is then sent out to Vision Recycling facilities for sale or delivered directly to customers.</t>
  </si>
  <si>
    <t xml:space="preserve">The facility is permitted to accept 225 tons per day of green waste and 1100 tons per day of winery by-products. The facility has reported available compost capacity, but is not interested in accepting additional organic material. </t>
  </si>
  <si>
    <t xml:space="preserve">Harris Ranch does not accept green waste or food waste. Compost feedstock includes manure, straw, cull, and agricultural products. SCS does not believe Harris Ranch is interested in accepting additional organic material from outside sources. 
</t>
  </si>
  <si>
    <t>In their recent Inspection Report, it says that the facility received close to 200 tons per day (on average) of material in January 2022. The total volume of material received in January was 4,489 tons. The facility is near site capacity and close to the facility’s limit of 12,500 cubic yards of material on site.</t>
  </si>
  <si>
    <t xml:space="preserve">Does not accept green waste or food waste. Not much incoming feedstock. Processes mostly garlic waste. 
</t>
  </si>
  <si>
    <t xml:space="preserve">This is a Merced County Regional Waste Management Authority facility, utilized by Member Agencies' franchise haulers. Currently the site composts green waste and is permitted to process 25,000 tons per year. They handled almost 24,000 tons in 2020. The MCRWMA issued an RFP in November 2021, looking for proposals for a new/expanded organics processing facility at the Highway 59 landfill. Their focus in on providing additional capacity for their Member Agencies, and to provide processing capacity for food waste in addition to green waste. </t>
  </si>
  <si>
    <t xml:space="preserve">Does not accept green waste or food waste. Their most recent Inspection Report says that the site was observed to be at ¼ of site capacity, but manure is the only type of feedstock observed onsite. </t>
  </si>
  <si>
    <t xml:space="preserve">Facility seems to be at/near capacity. Their most recent Inspection Report says that the facility received 953 tons of green waste in January 2022. In February 2022, the facility received 943 tons of green waste and 33 tons of sheetrock. The facility's maximum permitted throughput is 10,000 tons per year, which would be an average of less than 850 tons per month. </t>
  </si>
  <si>
    <t xml:space="preserve">Does not accept green waste or food waste. The compostable material onsite is mainly manure. Operator is in the process of leveling the site and will be accepting/processing less feedstock until early 2023. </t>
  </si>
  <si>
    <t>Agricultural, Ash, Green Waste, Manure</t>
  </si>
  <si>
    <t>John Brichetto
PO Box 11600, Oakdale, CA 95361
Phone: 209-404-6550</t>
  </si>
  <si>
    <t>50-AA-0029 through 50-AA-0043</t>
  </si>
  <si>
    <t>John Brichetto Compost Sites A-O</t>
  </si>
  <si>
    <t>Multiple</t>
  </si>
  <si>
    <t>8530 E Keyes Road</t>
  </si>
  <si>
    <t>Hughson</t>
  </si>
  <si>
    <t>Jared Ruelas
8530 E Keyes Road, Hughson, CA 95326
Phone: 209-226-5313</t>
  </si>
  <si>
    <t xml:space="preserve">Do not believe site is currently composting on site, just pre-processing green waste to remove contaminants, chipping and grinding the compostable materials, and then shipping the material to another permitted composting facility. 
However, they are permitted to compost 471 tons/day or 170,000 tons/year. Their website touts that they are permitted to compost food waste and have capacity for the cities and counties they serve. According to some 2020 facility reports, they were receiving about 4500 tons per month of compostable material.
Gilton's service areas include: Escalon, Gustine USD, Hughson, Livingston, Modesto, Oakdale, Ripon, Riverbank, Waterford, Merced County, San Joaquin County, and Stanislaus County. </t>
  </si>
  <si>
    <t xml:space="preserve">Facility is not open to the public. Facility composts cattle manure, livestock bedding, and green waste/food waste fines received from Eleanor Ranch (located nearby). </t>
  </si>
  <si>
    <t>Permitted to accept up to 60,000 tons per year, or about 5,000 tons per month. Past tonnage reports (September 2020 and June 2021) show the facility received about 1400 tons each month. Facility may have additional capacity, but is not clear who they source material from or if they want more material.</t>
  </si>
  <si>
    <t>Site does not accept green waste or food waste. Feedstock includes includes lettuce, broccoli, cow manure, onions, berry leaves/stems, horse straw/bedding, and coconut waste.</t>
  </si>
  <si>
    <t>Does not accept green waste or food waste. Comgro brings in the feedstock. Feedstock includes manure (horse, duck, cow, turkey, chicken, pig), grape pomace, leeks, processed wood chip fines, gypsum, mushroom mulch, and spent cannabis soil.</t>
  </si>
  <si>
    <t xml:space="preserve">Facility is permitted for a relatively small amount of material. Feedstock consists of wheat hay, green material, local manure, vegetables culls, and duck manure. </t>
  </si>
  <si>
    <t>17-200</t>
  </si>
  <si>
    <t>Vision Recycling - San Lorenzo</t>
  </si>
  <si>
    <t>15-25,000</t>
  </si>
  <si>
    <t xml:space="preserve">Site is currently conducting non-approved composting activities on site. They submitted a composting operational plan to the LEA in October 2021, but this has not yet been approved.
Tonnage reports for 2021 (January 2021 to December 2021) indicate that the total amount of incoming material was approximately 15,618.52 tons and the total amount of outbound material was approximately 24,440.48 tons. This is a discrepancy of about 8800 tons, but it is assumed that the true throughput is somewhere between those two values. 
The site receives clean untreated, unpainted wood, green waste, and lumber. Their 2016 OIMP estimated they receive about 75 tons per day. </t>
  </si>
  <si>
    <t xml:space="preserve">Tulare Lake Compost is operated by the Los Angeles County Sanitation Districts (LACSD). They process mainly biosolids, as well as some agricultural and green waste. The maximum permitted operational capacity for TLC is 500,000 wet tons per year (wtpy) of biosolids and 400,000 wtpy of agricultural and green waste. They are operating below capacity, but are not interested in taking more material. </t>
  </si>
  <si>
    <t xml:space="preserve">Site was composting manure in 2021; as of September 2021, the facility appeared to be operating at 90% of site capacity. By December 2021, the site had ceased operations and the LEA did not observe any composting activity, material, nor composting machinery and equipment at the site. The LEA will request that CalRecycle archive this facility. </t>
  </si>
  <si>
    <t>Does not accept green waste or food waste. Wheeler Farms Equine Waste Management accepts equine waste byproducts including manure, urine, bedding material, feed, and mixed soil.</t>
  </si>
  <si>
    <t xml:space="preserve">This currently operates as a research facility. Black cart MSW received from SF Recology and the Shoreway Environmental Center (Rethink Waste) is diluted, mixed, polished, and digested at the Silicon Valley Clean Water (SVCW) facility. </t>
  </si>
  <si>
    <t>No compost operations are occurring at this time.</t>
  </si>
  <si>
    <t xml:space="preserve">Very little information available about this site in SWIS. Peninsula Sanitary Service, Inc. (PSSI) serves the Stanford area, so assume this facility is only for PSSI/Stanford waste. </t>
  </si>
  <si>
    <t xml:space="preserve">Does not accept green waste or food waste. Facility is a mushroom production agricultural operation. Active composting is not conducted on site. </t>
  </si>
  <si>
    <t>Does not accept green waste or food waste. Facility is a mushroom production agricultural operation; however, active composting to create the growing media occurs onsite. Feedstock includes straw, chicken manure, cottonseed meal, cottonseed hulls, and canola pellets.</t>
  </si>
  <si>
    <t>Does not accept green waste or food waste. Feedstock is mostly wheat straw.</t>
  </si>
  <si>
    <t>Facility is permitted for a relatively small amount of material. 
Does not accept green waste or food waste. Feedstock consists of agricultural byproducts like grape pomace, woodchips, chicken litter with hay, and horse manure.</t>
  </si>
  <si>
    <t>Unknown but limited</t>
  </si>
  <si>
    <t>Davis Street Transfer Station</t>
  </si>
  <si>
    <t>East Bay Municipal Utility District
375 11th Street Oakland, CA 94607
Phone: 866-403-2683</t>
  </si>
  <si>
    <t xml:space="preserve">According to a June 2019 report for the California State Water Resources Control Board, EBMUD received 34,000 gallons/day of FOG and 176,000 gallons/day of Liquid Food and Beverage Waste in 2017. Another 2019 report said that of the food waste directed to EBMUD digesters, 15% is FOG, 1% is food scraps, 10% is animal protein waste, and 74-75% are various types of process effluents from dairy and wine industries. EBMUD has pursued a few pilots and partnerships for their food scrap feedstocks; it is unknown how much additional capacity they may have. </t>
  </si>
  <si>
    <t>Accept green waste and wood waste from commercial services including landscapers, tree services, hauling services, contractors, and handymen. Their grinding log from 12/2021-3/2022 showed daily tonnage ranged from 17 tons to 200 tons per day.</t>
  </si>
  <si>
    <t>In-Vessel Digestion Facility</t>
  </si>
  <si>
    <t>Proposed</t>
  </si>
  <si>
    <t xml:space="preserve">In 2019, California Grinding, Inc. submitted a grant application that proposed the construction of an AD facility in the City of Fresno. The full facility would process 91,000 tons per year, of which 51,300 tons would be newly diverted material. The facility would convert food and green waste into RNG, vehicle fuel, and compost. The project did not receive funding from CalRecycle and no additional information is available online. Not including this as planned capacity, since the project does not seem to be advancing. </t>
  </si>
  <si>
    <t xml:space="preserve">No active composting activities. No incoming feedstock in 2022. The MCRWMA seems to be focused on expanding organics processing at the Highway 59 landfill instead. </t>
  </si>
  <si>
    <t xml:space="preserve">Site has said in the past that it would be difficult to accept more material. Receives green waste from Johnson Canyon Landfill, manure from Harris Ranch, and grape waste from local wineries. </t>
  </si>
  <si>
    <t>0-100</t>
  </si>
  <si>
    <t xml:space="preserve">According to a July 2020 inspection, the facility has ceased operations of all compost activities with no further plans to restart. The site also had an AD pilot, which ceased operations in 2019. The site may build a larger digester at some point, however no information found about a planned/proposed project. Gabilan Ag Services currently provides all composting services at the MRWMD. </t>
  </si>
  <si>
    <t xml:space="preserve">According to recent Inspection Reports, the total amount of material handled by the site continues to increase. There are also some areas of concern regarding the amount of unprocessed material on site and the length of time material is being kept on site. It is not clear if there is additional green waste capacity at this site. </t>
  </si>
  <si>
    <t xml:space="preserve">Operator brings wood waste to the site for processing. During recent inspections, the LEA noted that inbound tonnage for November 2021 through April 2022 remained well below the 200 tpd maximum daily tonnage limit. Estimate they have about 50% capacity remaining. </t>
  </si>
  <si>
    <t>Well below 200</t>
  </si>
  <si>
    <t> Fresno-Clovis Regional Wastewater Reclamation Facility</t>
  </si>
  <si>
    <t>Co-Digestion Facility</t>
  </si>
  <si>
    <t>5607 W Jensen Ave</t>
  </si>
  <si>
    <t>California Grinding, Inc.</t>
  </si>
  <si>
    <t>Fresno Wastewater Management Division
2600 Fresno Street, Fresno, CA 93721
Phone: 559-621-2489</t>
  </si>
  <si>
    <t xml:space="preserve">The RWRF is a biological, secondary level treatment plant, treating about 68 million gallons per day of wastewater. The facility accepts Fats, Oil, and Grease (FOG) and other High Strength Wastes (HSW) from local food processors, such as turkey blood and syrupy-type wastes. Their FOG/HSW receiving station has been fully operational since June 2011. Remaining capacity is not known; however the feedstock they accept is not typical residential/commercial organic waste anyways. </t>
  </si>
  <si>
    <t xml:space="preserve">Kochergen Farms Composting is operating at/near capacity. This facility only accepts material from their own trucks or larger waste haulers. 
In 2018 the site tried to expand their capacity from 1,000 tons per day (TPD) to 3,500 TPD (maximum) and 3,000 TPD Average. This expansion did not happen due to complaints from their neighbors. </t>
  </si>
  <si>
    <t>According to the site's recent TPR, the Blue Line Material Recovery Facility AD Facility receives an average of 37 TPD, delivered five days per week. Peak loading may be as 64 TPD on Mondays and after long holiday weekends. 
The general public is not allowed to use the AD Facility. All AD feedstocks are delivered by South San Francisco Scavenger Company collection vehicles.</t>
  </si>
  <si>
    <t xml:space="preserve">Site receives and processes wood chips. Based on 2021 tonnage report, it seems the site processes about 500 CY of wood chips each month. Unknown if site is open to the public. 
</t>
  </si>
  <si>
    <t>CY/month</t>
  </si>
  <si>
    <t xml:space="preserve">Not much information available about this site in SWIS. It seems like processed wood waste is transferred within 48 hours to Vision Recycling (Fremont) or Bayview Greenwaste Management (San Francisco). Based on a recent inspection, it looks like they handle about 5000 CY/month of material. This would mean they are at/above their capacity. </t>
  </si>
  <si>
    <t xml:space="preserve">Does not accept green waste or food waste. 
In 2019 SWIS document, site estimated they handle about 142 tons per week of straw, cottonseed meal, gypsum, and cottonseed hulls. </t>
  </si>
  <si>
    <t xml:space="preserve">Permit says that they grind and chip wood from their own fencing operation. Probably not very good potential. During a 2021 inspection, there was approximately 11,000 cubic yards of unprocessed material onsite. The material was mostly untreated old fencing wood waste. </t>
  </si>
  <si>
    <t>Does not accept green waste or food waste. The compost feedstock primarily consists of wheat straw, as well as dehydrated poultry waste, cottonseed hulls and meal, gypsum, grape pomace, and Pima cotton.</t>
  </si>
  <si>
    <t xml:space="preserve">Wood waste chipping operation at the Ben Lomond Transfer Station (County of Santa Cruz facility). Wood waste and yard waste are received from the general public and the County's franchise refuse and recycling collector at the transfer station. Processed wood waste and yard waste is transported off-site as wood chips, mulch and/or compost feedstock. According to the 2020 TPR, the transfer station was receiving about 11,255 tons/year or 36 tons/day of wood waste. This would mean they had about 39 TPD of unused capacity. During past interviews with the site, they indicated they had little/no remaining capacity. </t>
  </si>
  <si>
    <t>Medium Volume CDI Debris Processing Facility</t>
  </si>
  <si>
    <t xml:space="preserve">Does not accept food waste or green waste. 
Wood chips are sold to biomass plants and to landscapers as ground cover. </t>
  </si>
  <si>
    <t xml:space="preserve">Feedstock includes green material, mushroom compost, grape pomace, manure, and vegetable culls. 
In past interviews, Keith Day said he had about 40-50,000 tons of capacity available at his various facilities. He was also planning to add another 100,000 TPY of capacity across his sites, although the status of this is unknown. </t>
  </si>
  <si>
    <t xml:space="preserve">Does not accept green waste or food waste. 
Feedstock includes wheat straw and other agricultural byproducts; composted to produce a mushroom growing substrate. No inspection records in SWIS since 2020. </t>
  </si>
  <si>
    <t xml:space="preserve">Site mostly accepts manure, but also seems to accept some green waste. 
In past interviews, Keith Day said he had about 40-50,000 tons of capacity available at his various facilities. He was also planning to add another 100,000 TPY of capacity across his sites, although the status of this is unknown. </t>
  </si>
  <si>
    <t xml:space="preserve">Located at MRWMD, operated by Keith Day. According to the site's 2018 Report of Composting Site Information, the facility accepts a wide array of feedstocks including manure from area dairies, mushroom growing substrate, processed green waste materials from the nearby MRWMD Materials Recovery Facility, digestate from the adjacent MRWMD anaerobic digester and other agricultural by-products from nearby farms and food processing operations. 
In past interviews, Keith Day said he had about 40-50,000 tons of capacity available at his various facilities. He was also planning to add another 100,000 TPY of capacity across his sites, although the status of this is unknown. </t>
  </si>
  <si>
    <t>In-vessel composting facility operating under a full SWFP. Compostable material includes food scraps, seafood processing wastes, agricultural materials, fish waste, and other organic materials. 
Inspection reports from summer 2021 show that daily feedstock tonnage varied greatly, from 0.35 tons-94.4 tons in a single day. It seems that the site does not usually receive material every day of the month, but rather only 6-10 days/month. Available capacity is not known, but it seems like there is additional capacity at this site. Conservative estimate = 46,800 tons/year. (150 TPD * 312 operating days)</t>
  </si>
  <si>
    <t xml:space="preserve">Agricultural compost operation. Feedstock includes cow manure, mushroom compost, grape pumice, chicken manure, onion and garlic culls, green waste. </t>
  </si>
  <si>
    <t>20-71</t>
  </si>
  <si>
    <t xml:space="preserve">AgroThrive is a liquid organic fertilizer manufacturer. A January 2022 inspection said that the facility received an average of 20 TPD of material. However, the site has exceeded its daily permitted maximum tonnage in recent months (April 2022), as well as in past years. Additional capacity is unknown but is assumed to be limited. </t>
  </si>
  <si>
    <t xml:space="preserve">Inspections in 2021 and 2022 suggest this facility is in a testing/pilot phase. Current feedstocks include MSW and Coke.
An overview of the project says that it plans to use mixed municipal solid waste (MSW), already generated at Ft. Hunter Liggett, to produce fuel to generate electricity for onsite use and for transportation. </t>
  </si>
  <si>
    <t>1000-5000</t>
  </si>
  <si>
    <t xml:space="preserve">John Brichetto has 15 permitted compost sites in Oakdale. Each site has a maximum permitted throughput of 700 CY per day and a maximum permit capacity of 62,295 CY per year. 
Feedstock is mainly manure, with food processing pond mud, tomato serum, and wine-press filter cake byproduct. 
In the past, John was open to accepting additional material and said sites have additional available capacity. </t>
  </si>
  <si>
    <t xml:space="preserve">Site accepts green waste and wood waste. Feedstock material is delivered to the facility by company/commercial vehicles. The site has been closed to the public due to COVID-19 and still has not reopened to public loads as of April 2022. Green waste received at this facility is composted, processed for sale, or delivered to another facility approved to accept this type of material. The facility does not currently engage in intentional active composting. 
In past conversations with the site, they said they do not have much available capacity. </t>
  </si>
  <si>
    <t xml:space="preserve">Site processes green waste, palm waste, and wood waste (lumber, pallets, etc.). 2018 tonnage reports show the site was averaging about 1365 tons/month of green waste and lumber, which is pretty close to their monthly limit. Recent inspections just say that tonnages were in compliance. </t>
  </si>
  <si>
    <t xml:space="preserve">Organic Solution Management LLC. operated Fiscalini Farms has partnered with Crystal Creamery since 2014 to use the dairy’s waste products in their anaerobic co-digestion facility. This anaerobic digestion system allows for organic byproducts removed from Crystal Creamery’s waste water to be collected and mixed with manure and other food waste to produce valuable commodities like electricity and a liquid and a solid byproduct that is later turned into fertilizer.
Very limited information available in SWIS. See that the site accepted 3,653.46 tons of substrate in August 2020 and 3,861.98 tons in September; no other details provided. </t>
  </si>
  <si>
    <t xml:space="preserve">Site is not open to the public. Feedstock material consist of green waste, horse manure, and vegetable field culls. All finished material is land applied on Rodoni Farms. </t>
  </si>
  <si>
    <t>Sites</t>
  </si>
  <si>
    <t>Summary of Remaining and Planned Capacity by County</t>
  </si>
  <si>
    <t>Wood/Lumber</t>
  </si>
  <si>
    <t>Mixed Municipal, Green Waste, Agricultural</t>
  </si>
  <si>
    <t>BioSolids/Sludge, Food Waste, Green Waste</t>
  </si>
  <si>
    <t>Agricultural, BioSolids/Sludge, Food Waste, Green Waste, Industrial, Mixed Municipal, Tires</t>
  </si>
  <si>
    <t>Other (Transformation, Food Waste Transfer/Processing)</t>
  </si>
  <si>
    <t>No capacity</t>
  </si>
  <si>
    <t>Capacity Status</t>
  </si>
  <si>
    <t>Maximum Permitted Throughput</t>
  </si>
  <si>
    <t>Actual Daily/Annual Throughput</t>
  </si>
  <si>
    <t xml:space="preserve">Green Valley can process 500 tons per day, but is operating at/near capacity. They accept green waste from residential, commercial, and industrial sectors, as well as residential self-haulers, gardeners, and landscapers. 
Green Valley plans to become a full transfer station with a capacity of 2500 tons per day and the ability to accept food waste. However, all of their material currently goes to Kochergen Farms for composting so any additional processing capacity depends on Kochergen's ability to expand. </t>
  </si>
  <si>
    <t xml:space="preserve">This facility mostly composts manure, although they also compost some green waste. In their recent Inspection Report, it says that the facility received 5,309 tons of manure in January 2022 and 8,021 tons of manure in February 2022. The facility also received 1,082 tons of green waste from the City of Merced. During their March 2022 inspection, the inspector estimated that the facility was operating at about 50% capacity in terms of the volume of feedstock, additives, and compost product. In September 2021, the facility was closer to 95% capacity, and in March 2021 was at about 70% capacity. There may be additional green waste capacity at this site. </t>
  </si>
  <si>
    <t>Peninsula Sanitary Services, Inc.
Julie C. Muir 339 Bonair Siding Road, Palo Alto, CA 93405
Phone: 650-321-4236</t>
  </si>
  <si>
    <t>In February 2022 the operator submitted a new Solid Waste Facility Permit Application to combine all three facilities in one facility ID with a request for 500 TPD limit. They estimate the amount and types of solid waste materials to be processed to consist of 250 TPD Construction and Demolition Debris/Inerts (CDIs), 200 TPD green waste materials, and 50 TPD Type A Inert materials.
In August 2019, the site was  processing about 170 tpd green waste; more recent tonnages were not available.</t>
  </si>
  <si>
    <t>Site composts green waste, food waste, and agricultural waste. Has said that they have minimal capacity left.</t>
  </si>
  <si>
    <t xml:space="preserve">Accepts manure and green waste from 3D Ag, LLC. Not open to the public, does not have unused capacity at this time. </t>
  </si>
  <si>
    <t xml:space="preserve">This site accepts green waste and lumber from the public, including landscapers and homeowners. Green waste is processed into compost feedstock, mulch, and biomass. Lumber is processed into woodchip and biomass. The compost feedstock begins the composting process on-site in piles while waiting to be hauled to other facilities for the completion of the composting process.
The site cannot have more than 12,500 cubic yards of material on site at any time. During two recent inspections, it seemed they were operating below capacity. However during a 2021 inspection the site exceeded this volume by about 1000 cubic yards. It is not known if the site will reliably have additional processing capacity. </t>
  </si>
  <si>
    <t>Does not accept green waste or food waste. Facility primarily composts chicken manure. 
Their most recent Inspection Report says they received about 10,500 tons of material in February 2022, and that there was about 50,000 tons of compostable material on site. The facility received 3,908 tons of poultry manure in the month of August 2021, 7,882 tons of poultry manure in the month of April 2021, and 6,125 tons of poultry manure in the month of May 2021.</t>
  </si>
  <si>
    <t xml:space="preserve">Does not accept green waste or food waste. Facility mostly processes biosolids, but also receives and processes some additional bulking agents. Their most recent Inspection Reports says they received an average of 10285 wet tons of biosolids and 1504 wet tons of bulking agents each month for 1/2022-3/2022. Based on these monthly averages and their permit capacity, it appears the facility is at/near capacity. </t>
  </si>
  <si>
    <t xml:space="preserve">Buena Vista Landfill (County of Santa Cruz facility) is a drop off site for wood waste and yard waste. 
Keith Day is the landfill's current contractor for their composting operation. From 2021 permit review report it sounds like landfill requires him to process the material more quickly, operating more like a chipping and grinding operation. As of 2020, the site was operating at capacity. They do have plans to build a new facility that will accept 70,000-200,000 TPY of organic material. </t>
  </si>
  <si>
    <t xml:space="preserve">The City of Modesto’s Compost Facility. Website lists a tipping fee for mixed brush and yard waste, paper, and food waste; has local Modesto resident price and non-resident price. Their website says that the compost facility receives approximately 200 tons of community yard waste (grass, leaves, brush and tree trimmings) each day. 
Their 2021 RCSI says that the facility currently accepts approximately 53,000 tons of green materials annually. Most of the feedstocks come from City residential and commercial sources, although the facility accepts feedstocks from other sources, including green waste materials and green waste with some residential food waste from other communities, manures, plant wastes from the food processing industry (pomace, hulls, skins, juice, etc.), and other compostable materials. The daily capacity of the site is 500 tons (1,000 CY), with a site holding capacity of 21,666 tons (43,332 cubic yards). The peak annual permitted throughput of the site is approximately 130,000 tons (260,000 cubic yards). </t>
  </si>
  <si>
    <t>TPY</t>
  </si>
  <si>
    <t>The Organics Material Composting Facility (OMCF) at Davis Street is designed to handle a variety of organic feedstock. The OMCF is designed to process between 335 and 670 TPD (averaged monthly) of OFMSW feedstock materials and receive up to an additional 145-290 tons per day of Source Separated Organics (SSO), Co-Collected Organics (CCO), and green waste (GW) materials. Maximum peak inbound tonnage for the OMCF is 1,000 TPD for OFMSW, SSO, CCO and GW materials. The combined daily peak capacity of the Composting and Digester facilities will be 1,000 tons per day, with an estimated maximum annual throughput of 205,000 TPY.
The facility expects to be operating closer to 335 TPD/145 TPD, since operating at the maximum design capacity would require additional infrastructure. Site does not have a clear annual throughput, so estimated 335 TPD of OFMSW + 145 TPD of SSO x 365 days = 175,200 TPY. 
Records from the past 5 months show that the OMCF accepted: a total of 7679.4 tons during the month of April 2022, 8512.1 tons during the month of March 2022. 7391.0 tons during the month of February 2022,  6297.60 tons during the month of January 2022, and 8528.8 tons during the month of December 2021. 
This facility did not expand their permit for additional material. All material currently brought to Davis Street is processed. The facility is still in its commissioning, which results in the remaining capacity. Once at full scale, the remaining capacity will be limited.</t>
  </si>
  <si>
    <t>The compost site at the Johnson Canyon Landfill is designed to process 75,000 TPY and is permitted to have 26,000 tons on site at any given time. Site representative estimated they would be processing about 50,000 TPY by the end of 2021. Much of the additional volume is likely for member agencies' use. 
This facility added 25,000 TPY to their permit, however, the facility will be at capacity with Salinas material.</t>
  </si>
  <si>
    <t>The Resource Recovery Facility is open to City of Santa Cruz residents and businesses. North County residents may use the facility but must pay a surcharge above the established rates. Additional capacity is unknown, but is believed to be limited due to past conversations with the site. This location accepts food only, and is put through a process to make slurry for their water treatment facility.</t>
  </si>
  <si>
    <t>Known but limited</t>
  </si>
  <si>
    <t>Current Processing</t>
  </si>
  <si>
    <t>Green Waste and Food</t>
  </si>
  <si>
    <t>Other</t>
  </si>
  <si>
    <t>permitted capacity</t>
  </si>
  <si>
    <t>current processing</t>
  </si>
  <si>
    <t>tons/year</t>
  </si>
  <si>
    <t>tons/years</t>
  </si>
  <si>
    <t>tons/Year</t>
  </si>
  <si>
    <t>tons/ year</t>
  </si>
  <si>
    <t>ton/year</t>
  </si>
  <si>
    <t>Not listed (research compost operations)</t>
  </si>
  <si>
    <t xml:space="preserve">Research operation, small volumes. </t>
  </si>
  <si>
    <t>Tons / year</t>
  </si>
  <si>
    <t>Tons /year</t>
  </si>
  <si>
    <t>Very little information available in SWIS. Compostable material is not being removed from the site in a timely manner. Required records have not been provided to the EA. Chip and Grind</t>
  </si>
  <si>
    <t>Unused Capacity? (Y/N)</t>
  </si>
  <si>
    <t>Yes</t>
  </si>
  <si>
    <t>No</t>
  </si>
  <si>
    <t>How much unused capacity does the facility have?</t>
  </si>
  <si>
    <t>Total</t>
  </si>
  <si>
    <t>Unused Capacity</t>
  </si>
  <si>
    <t xml:space="preserve">Unused Capacity </t>
  </si>
  <si>
    <t>Additional Planned Capacity</t>
  </si>
  <si>
    <t>Permitted Capacity</t>
  </si>
  <si>
    <t>07-AA-0044</t>
  </si>
  <si>
    <t>WCCSLF Organic Materials Processing</t>
  </si>
  <si>
    <t>Contra Costa</t>
  </si>
  <si>
    <t>1 Parr Blvd.</t>
  </si>
  <si>
    <t>Richmond</t>
  </si>
  <si>
    <t>West Contra Costa Sanitary Landfill Inc.                                 3260 Blume Dr. St. 115, Richmond, CA 94806                       PH: 510-262-1660</t>
  </si>
  <si>
    <t>BioSolids (Sludge), C&amp;D, Food Waste, Green Waste, Wood Waste</t>
  </si>
  <si>
    <t>Cubic Yard / day</t>
  </si>
  <si>
    <t>07-AA-0070</t>
  </si>
  <si>
    <t>Atlas Tree Service, Inc.</t>
  </si>
  <si>
    <t>150 Medburn Street</t>
  </si>
  <si>
    <t>Concord</t>
  </si>
  <si>
    <t>Atlas Tree Services, Inc.                                                                         150 Medburn St. Concord, CA 94520                                        PH: 925-648-2271</t>
  </si>
  <si>
    <t>Tons/week</t>
  </si>
  <si>
    <t xml:space="preserve"> Small company, more than likely doesn't accept other material</t>
  </si>
  <si>
    <t>07-AA-0066</t>
  </si>
  <si>
    <t>Oliveira Enterprises, Inc.</t>
  </si>
  <si>
    <t>8005 Bruns Rd</t>
  </si>
  <si>
    <t>Byron</t>
  </si>
  <si>
    <t>Brian H. Oliveira                                                                                         8005 Bruns Rd., Byron, CA 94514                                                PH: 209-835-9382</t>
  </si>
  <si>
    <t>Tons / not listed</t>
  </si>
  <si>
    <t>Does not accept from Public</t>
  </si>
  <si>
    <t>07-AA-0062</t>
  </si>
  <si>
    <t>Woodmill Recycling Company</t>
  </si>
  <si>
    <t>5595 Byron Hot Springs Rd</t>
  </si>
  <si>
    <t>Woodmill Recycling Company
3972 California Way, Livermore, CA 94550
PH: 925-634-9663</t>
  </si>
  <si>
    <t>Cubic Yards / Day</t>
  </si>
  <si>
    <t>07-AA-0069</t>
  </si>
  <si>
    <t>Expert Tree Service</t>
  </si>
  <si>
    <t>150 Old Tunnel Road</t>
  </si>
  <si>
    <t>Orinda</t>
  </si>
  <si>
    <t>Expert Tree Service                                                                 PO Box 1256, Orinda, CA 94563                                                  PH: 510-918-1242</t>
  </si>
  <si>
    <t>Tons / Day</t>
  </si>
  <si>
    <t>Tons / Year</t>
  </si>
  <si>
    <t>07-AA-0059</t>
  </si>
  <si>
    <t>Fahy Tree Service</t>
  </si>
  <si>
    <t>2780 Goodrick Avenue</t>
  </si>
  <si>
    <t>Fahy Tree Service                                                                                 19 Ranch Rd., San Rafael, CA 94903                                       PH: 415-472-7263</t>
  </si>
  <si>
    <t>Green Waste, Agricultural, Wood Waste</t>
  </si>
  <si>
    <t>07-AA-0061</t>
  </si>
  <si>
    <t>Green Waste Recycle Yard</t>
  </si>
  <si>
    <t>2550 Garden Tract Road</t>
  </si>
  <si>
    <t>Arboricultural Specialties, Inc.                                                        PO Box 2377 Berkeley, CA 94702                                            PH: 510-549-3954</t>
  </si>
  <si>
    <t>07-AA-0067</t>
  </si>
  <si>
    <t>EcoMulch</t>
  </si>
  <si>
    <t>4949 Pacheco Blvd.</t>
  </si>
  <si>
    <t>Martinez</t>
  </si>
  <si>
    <t>EcoMulch                                                                                  4949 Pacheco Blvd, Martinez, CA 94553                                      PH: 925-228-1010</t>
  </si>
  <si>
    <t>07-AA-0072</t>
  </si>
  <si>
    <t>Pacific Wood Recycling</t>
  </si>
  <si>
    <t>109 Brookside Drive</t>
  </si>
  <si>
    <t>Pacific Wood Recycling
PO Box 4306, San Rafael, CA 94913
PH: 415-472-7263</t>
  </si>
  <si>
    <t>21-AA-0063</t>
  </si>
  <si>
    <t>West Marin Compost</t>
  </si>
  <si>
    <t>Marin</t>
  </si>
  <si>
    <t>6290 Nicasio Valley Road</t>
  </si>
  <si>
    <t>Nicasio</t>
  </si>
  <si>
    <t>Lunny Grading and Paving, Inc.                                                    PO Box 730 Nicasio, CA 94946                                                    PH: 415-662-9849</t>
  </si>
  <si>
    <t>Green Waste, Manures</t>
  </si>
  <si>
    <t>21-AA-0067</t>
  </si>
  <si>
    <t>West Marin Compost Project- Drop Off</t>
  </si>
  <si>
    <t>5575 Nicasio Valley Rd</t>
  </si>
  <si>
    <t>Lunny Grading and Paving, Inc.
P.O. Box 730, Nicasio, CA 94946
PH: 415-662-9849</t>
  </si>
  <si>
    <t>21-AA-0060</t>
  </si>
  <si>
    <t>Bolinas-Stinson Resource Recovery Project</t>
  </si>
  <si>
    <t>25 Olema Bolinas Road</t>
  </si>
  <si>
    <t>Bolinas</t>
  </si>
  <si>
    <t>Bolinas-Stinson Resource Recovery. Project                            PO Box 390  bolinas, CA 94924                                                  PH: 415-868-1224</t>
  </si>
  <si>
    <t>Small volume, not sure of capacity</t>
  </si>
  <si>
    <t>21-AA-0068</t>
  </si>
  <si>
    <t>WM Earthcare of Marin</t>
  </si>
  <si>
    <t>8950 Redwood Highway</t>
  </si>
  <si>
    <t>Novato</t>
  </si>
  <si>
    <t>Redwood Landfill, Inc.
P.O. Box 793, Novato, CA 94948
PH: 415-892-2851</t>
  </si>
  <si>
    <t>Green Waste, Agricultural, Food Waste, BioSolids/Sludge</t>
  </si>
  <si>
    <t>Cubic Yards / not listed</t>
  </si>
  <si>
    <t>28-AA-0030</t>
  </si>
  <si>
    <t>City of Napa Materials Diversion Facility</t>
  </si>
  <si>
    <t>Napa</t>
  </si>
  <si>
    <t>820 Levitin Way</t>
  </si>
  <si>
    <t>Napa Recycling &amp; Waste Services, LLC                                    PO Box 239  Napa, CA 94559                                                      PH: 707-255-5200</t>
  </si>
  <si>
    <t>Food Wastes, Green Waste, Wood Waste</t>
  </si>
  <si>
    <t>28-AA-0045</t>
  </si>
  <si>
    <t>Buchli Station</t>
  </si>
  <si>
    <t>1190 Buchli Station Road</t>
  </si>
  <si>
    <t>Operator for Rombauer Vineyards                                               1106 Clark St., Napa, CA 94559                                                       PH: 707-255-0785</t>
  </si>
  <si>
    <t>Don't believe they accept material from public</t>
  </si>
  <si>
    <t>28-AA-0037</t>
  </si>
  <si>
    <t>Joseph Phelps Vineyards</t>
  </si>
  <si>
    <t>200 Taplin Road</t>
  </si>
  <si>
    <t>St. Helena</t>
  </si>
  <si>
    <t>Phelps, Joseph                                                                                        2000 Taplin Rd., St. Helena, CA 94574                                   PH: 707-963-2745</t>
  </si>
  <si>
    <t>Green Waste, Manure</t>
  </si>
  <si>
    <t>28-AA-0041</t>
  </si>
  <si>
    <t>Opus One</t>
  </si>
  <si>
    <t>1144 Oakville Corssroad (aka Walnut Lane</t>
  </si>
  <si>
    <t>Oakville</t>
  </si>
  <si>
    <t>Opus One Winery                                                                               PO Box 6  Oakville, CA 94562                                                       PH: 707-948-2433</t>
  </si>
  <si>
    <t>28-AA-0026</t>
  </si>
  <si>
    <t>Upper Valley Disposal Service</t>
  </si>
  <si>
    <t>1285 Whitehall Lane</t>
  </si>
  <si>
    <t>Upper Valley Disposal Service                                                        1285 Whitehall Lane, St. Helena, CA 94574                         PH: 707-963-7988</t>
  </si>
  <si>
    <t>Food Wastes, Green Waste</t>
  </si>
  <si>
    <t>28-AA-0033</t>
  </si>
  <si>
    <t>Yount Mill Composting</t>
  </si>
  <si>
    <t>1141 Oakville Cross Rd</t>
  </si>
  <si>
    <t>Yount Mill Composting                                                                           PO Box 434 Oakville, CA 94562                                                   PH: 707-944-0857</t>
  </si>
  <si>
    <t>38-AA-0015</t>
  </si>
  <si>
    <t>Bay View Green Waste Mgt. Company (Private not Public)</t>
  </si>
  <si>
    <t>San Francisco</t>
  </si>
  <si>
    <t>1300 Carroll Ave</t>
  </si>
  <si>
    <t>Bhas, Sanjay                                                                                                   360 Upland Rd., Redwood City, CA 94062                               PH: 650-222-0174</t>
  </si>
  <si>
    <t>38-AA-0027</t>
  </si>
  <si>
    <t>Golden Gate Park</t>
  </si>
  <si>
    <t>Transverse Dr and Overlook Dr</t>
  </si>
  <si>
    <t>City and County of San Francisco
501 Stanyan St, San Francisco, CA 94117
PH: 415-831-2709</t>
  </si>
  <si>
    <t>39-AA-0045</t>
  </si>
  <si>
    <t>Clean Planet, Inc.</t>
  </si>
  <si>
    <t>San Joaquin</t>
  </si>
  <si>
    <t>250 Port Road 23</t>
  </si>
  <si>
    <t>Stockton</t>
  </si>
  <si>
    <t>Clean Planet, Inc.                                                                                    PO Box 32314  Stockton, CA 95213                                          PH: 209-472-7422</t>
  </si>
  <si>
    <t>39-AA-0020</t>
  </si>
  <si>
    <t>Forward Resource Recovery Facility</t>
  </si>
  <si>
    <t>9999 N. Austin Road</t>
  </si>
  <si>
    <t>Manteca</t>
  </si>
  <si>
    <t>Forward, Inc./Allied Waste North America                                9999 S Austin Road, Manteca CA 95336                               PH: 209-982-4298</t>
  </si>
  <si>
    <t>Agricultural, Ash, BioSolids (Sludge), Food Waste, Green Material, Liquid Waste, Manure, Wood Waste</t>
  </si>
  <si>
    <t>39-AA-0050</t>
  </si>
  <si>
    <t>SKS Enterprises</t>
  </si>
  <si>
    <t>23709 East Brandt Road</t>
  </si>
  <si>
    <t>Clements</t>
  </si>
  <si>
    <t>SKS Enterprises                                                                                       PO Box 1109 Ripon, CA 95366                                                     PH: 209-983-0642</t>
  </si>
  <si>
    <t>39-AA-0024</t>
  </si>
  <si>
    <t>Tracy Material Recovery   T.S.</t>
  </si>
  <si>
    <t>30703 S. Macarthur Drive</t>
  </si>
  <si>
    <t>Tracy</t>
  </si>
  <si>
    <t>Repetto M                                                                                             PO Box 93, Tracy, CA 95378                                                           PH: 209-835-0601</t>
  </si>
  <si>
    <t>39-AA-0055</t>
  </si>
  <si>
    <t>Green Man Materials</t>
  </si>
  <si>
    <t>2800 S. El Dorado Street</t>
  </si>
  <si>
    <t>Green Man Recycling, Inc.                                                              3030 S. Hwy 99  Stockton, CA 95215                                           PH; 209-464-8701</t>
  </si>
  <si>
    <t>39-AA-0044</t>
  </si>
  <si>
    <t>Valley Landscaping</t>
  </si>
  <si>
    <t>1320 East Harney Lane</t>
  </si>
  <si>
    <t>Lodi</t>
  </si>
  <si>
    <t>Valley Landscaping                                                                         12900 North Lower Sacramento, Lodi CA 95242                 
PH: 209-334-3659</t>
  </si>
  <si>
    <t>39-AA-0051</t>
  </si>
  <si>
    <t>Central Valley Compost</t>
  </si>
  <si>
    <t>916 Frewert Road</t>
  </si>
  <si>
    <t>Lathrop</t>
  </si>
  <si>
    <t xml:space="preserve">USA Waste of CA                                                                                   916 Frewert Road  Lathrop, CA 95330                         </t>
  </si>
  <si>
    <t>Agricultural, C&amp;D, Food Waste, Green Waste</t>
  </si>
  <si>
    <t>39-AA-0037</t>
  </si>
  <si>
    <t>Delicato Vineyards</t>
  </si>
  <si>
    <t>12001 S. Hwy 99</t>
  </si>
  <si>
    <t>Delicato Vineyards                                                                              12001 South Highway 99 , Manteca, CA 95336                    PH: 209-824-3600</t>
  </si>
  <si>
    <t>39-AA-0058</t>
  </si>
  <si>
    <t>Advanced Soils</t>
  </si>
  <si>
    <t>14303 S. Campbell Rd.</t>
  </si>
  <si>
    <t>Escalon</t>
  </si>
  <si>
    <t>Advanced Soils
14303 S. Campbell Rd., Escalon, CA 95320
PH: 209-499-3639</t>
  </si>
  <si>
    <t>49-AA-0368</t>
  </si>
  <si>
    <t>Laguna Sub regional Compost Facility</t>
  </si>
  <si>
    <t>Bio solids Composting at POTWs</t>
  </si>
  <si>
    <t>Sonoma</t>
  </si>
  <si>
    <t>4301 Llano Road</t>
  </si>
  <si>
    <t>Santa Rosa</t>
  </si>
  <si>
    <t xml:space="preserve">City of Santa Rosa Water Department                             4301 Llano Road Santa Rosa, CA 95407                      </t>
  </si>
  <si>
    <t>Bio solids/Sludge</t>
  </si>
  <si>
    <t>49-AA-0403</t>
  </si>
  <si>
    <t>Poncia Fertilizer</t>
  </si>
  <si>
    <t>597 Wilfred Avenue</t>
  </si>
  <si>
    <t>Andy Poncia                                                                                                            PO Box 718, Cotati, CA 94931                                                             PH: 707-481-8052</t>
  </si>
  <si>
    <t>Agricultural, Manures</t>
  </si>
  <si>
    <t>Cubic Yard / month</t>
  </si>
  <si>
    <t>49-AA-0393</t>
  </si>
  <si>
    <t>Atlas Tree Waste Recycling</t>
  </si>
  <si>
    <t>Chipping and Grinding Activity Facility / Operations</t>
  </si>
  <si>
    <t>6303 Sebastopol Road (Hwy 12)</t>
  </si>
  <si>
    <t>Sebastopol</t>
  </si>
  <si>
    <t>Atlas Tree Surgery                                                                               1544 Ludwig Avenue, Santa Rosa, CA 95407                 PH: 707-523-4399</t>
  </si>
  <si>
    <t>49-AA-0392</t>
  </si>
  <si>
    <t>Daniel O. Davis, Inc.</t>
  </si>
  <si>
    <t>1051 Todd Road</t>
  </si>
  <si>
    <t>Daniel O. Davis, Inc.                                                                           1051 Todd Road, Santa Rosa, CA 95407                       PH: 707-585-1903</t>
  </si>
  <si>
    <t>C&amp;D, Wood Waste</t>
  </si>
  <si>
    <t>49-AA-0395</t>
  </si>
  <si>
    <t>Dolcini Brothers Composting Operation Ag</t>
  </si>
  <si>
    <t>7689 Lakeville Hwy.</t>
  </si>
  <si>
    <t>Petaluma</t>
  </si>
  <si>
    <t>Dolcini Brothers                                                                                      2500 Petaluma Blvd., North  Petaluma, CA 94952  PH: 707-763-5775</t>
  </si>
  <si>
    <t>49-AA-0369</t>
  </si>
  <si>
    <t>Grab N` Grow</t>
  </si>
  <si>
    <t>2759 Llano Road</t>
  </si>
  <si>
    <t>Soiland Co., Inc.                                                                                 3450 A Regional Parkway  Santa Rosa, CA 95403                                                                                                          PH: 707-525-1100</t>
  </si>
  <si>
    <t>Sonoma County currently does not have composting systems</t>
  </si>
  <si>
    <t>49-AA-0394</t>
  </si>
  <si>
    <t>Reichert Duck Farm</t>
  </si>
  <si>
    <t>3770 Middle Two Rock Road</t>
  </si>
  <si>
    <t>Reichert Duck Farm, Inc.                                                                3770 Middle Two Rocks Road, Petaluma, CA 94952  PH: 707-762-6314</t>
  </si>
  <si>
    <t xml:space="preserve">Agricultural, Manures  </t>
  </si>
  <si>
    <t>Tons/ year</t>
  </si>
  <si>
    <t>N</t>
  </si>
  <si>
    <t>Unknown, not much information</t>
  </si>
  <si>
    <t>Y</t>
  </si>
  <si>
    <t>Can't find any good information on thruput, ranged 50,000 - 100,000</t>
  </si>
  <si>
    <t>Mid Valley Disposal Transfer Recycling St</t>
  </si>
  <si>
    <t xml:space="preserve">In 2020, Mid Valley reported that they had about 30,000 tons per year of unused processing capacity. However, many haulers in Fresno County expressed interest in this additional capacity, so it is likely not available anymore. The facility can process green waste, wood waste, and food waste. 
Mid Valley has also proposed adding an in-vessel digestion facility at this site, which would be able to process 100 TPD of food waste, green waste, and mixed municipal waste. </t>
  </si>
  <si>
    <t xml:space="preserve">Operated by Herbert Family Organic Farm. Mainly an agricultural operation (manure, vegetable culls, etc.) but also take some green waste. 
The facility had not produced any new compost since the end of 2018 but started up their operations again in late 2021. Current throughput is unknown, but facility is permitted for a relatively small amount of material. </t>
  </si>
  <si>
    <t>Table 2 and Table 3</t>
  </si>
  <si>
    <t>Key</t>
  </si>
  <si>
    <r>
      <t>Known/estimated:</t>
    </r>
    <r>
      <rPr>
        <sz val="11"/>
        <color theme="1"/>
        <rFont val="Calibri"/>
        <family val="2"/>
        <scheme val="minor"/>
      </rPr>
      <t xml:space="preserve"> this was assigned to sites where their current throughput could be quantified, and it was estimated they have remaining capacity.</t>
    </r>
  </si>
  <si>
    <r>
      <t>Unknown but potential:</t>
    </r>
    <r>
      <rPr>
        <sz val="11"/>
        <color theme="1"/>
        <rFont val="Calibri"/>
        <family val="2"/>
        <scheme val="minor"/>
      </rPr>
      <t xml:space="preserve"> this was assigned to sites where their current throughput was not quantified, but they have high permit capacity, accept green waste and/or food waste, and available information about the site implied they have some remaining capacity.</t>
    </r>
  </si>
  <si>
    <r>
      <t xml:space="preserve">Unknown but limited: </t>
    </r>
    <r>
      <rPr>
        <sz val="11"/>
        <color theme="1"/>
        <rFont val="Calibri"/>
        <family val="2"/>
        <scheme val="minor"/>
      </rPr>
      <t>this was assigned to sites where their current throughput was not quantified, but they have low permit capacity, accept green waste and/or food waste, and available information about the site implied they have little remaining capacity (especially for standard residential/commercial organic waste).</t>
    </r>
  </si>
  <si>
    <r>
      <t xml:space="preserve">Unknown: </t>
    </r>
    <r>
      <rPr>
        <sz val="11"/>
        <color theme="1"/>
        <rFont val="Calibri"/>
        <family val="2"/>
        <scheme val="minor"/>
      </rPr>
      <t>this was assigned to sites where their current throughput was not quantified and there was not enough available information to make any estimate about their remaining capacity.</t>
    </r>
  </si>
  <si>
    <r>
      <t>No capacity:</t>
    </r>
    <r>
      <rPr>
        <sz val="11"/>
        <color theme="1"/>
        <rFont val="Calibri"/>
        <family val="2"/>
        <scheme val="minor"/>
      </rPr>
      <t xml:space="preserve"> this was assigned to sites who were estimated to have 0 tons/year of available capacity for standard residential/commercial organic waste. This was estimated based on tonnage reports, information reported by the facility, and information about the type of feedstock they accept.</t>
    </r>
  </si>
  <si>
    <t>NOT INCLUDED IN REPORT, TOO SMALL. REFER TO THE INTERVIEWS PERFORMED WITH FACILITIES INSIDE THE COUNTY</t>
  </si>
  <si>
    <t>TOTAL TPY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</si>
</sst>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1"/>
      <name val="Calibri"/>
      <family val="2"/>
      <scheme val="minor"/>
    </font>
    <font>
      <b/>
      <sz val="11"/>
      <color rgb="FF000000"/>
      <name val="Calibri"/>
      <family val="2"/>
    </font>
    <font>
      <sz val="11"/>
      <color theme="1"/>
      <name val="Calibri"/>
      <family val="2"/>
    </font>
    <font>
      <b/>
      <sz val="16"/>
      <color rgb="FFFFFFFF"/>
      <name val="Calibri"/>
      <family val="2"/>
    </font>
    <font>
      <b/>
      <sz val="11"/>
      <color rgb="FFFFFFFF"/>
      <name val="Calibri"/>
      <family val="2"/>
    </font>
    <font>
      <b/>
      <sz val="11"/>
      <name val="Calibri"/>
      <family val="2"/>
    </font>
    <font>
      <sz val="11"/>
      <name val="Calibri"/>
      <family val="2"/>
    </font>
    <font>
      <b/>
      <sz val="11"/>
      <color theme="0"/>
      <name val="Calibri"/>
      <family val="2"/>
      <scheme val="minor"/>
    </font>
    <font>
      <b/>
      <sz val="11"/>
      <color theme="0"/>
      <name val="Calibri"/>
      <family val="2"/>
    </font>
    <font>
      <b/>
      <sz val="12"/>
      <color indexed="81"/>
      <name val="Tahoma"/>
      <family val="2"/>
    </font>
    <font>
      <sz val="12"/>
      <color indexed="81"/>
      <name val="Tahoma"/>
      <family val="2"/>
    </font>
    <font>
      <b/>
      <sz val="11"/>
      <name val="Calibri"/>
      <family val="2"/>
      <scheme val="minor"/>
    </font>
    <font>
      <b/>
      <sz val="11"/>
      <color theme="1"/>
      <name val="Calibri"/>
      <family val="2"/>
    </font>
    <font>
      <sz val="10"/>
      <name val="Arial"/>
      <family val="2"/>
    </font>
    <font>
      <b/>
      <sz val="14"/>
      <color indexed="81"/>
      <name val="Tahoma"/>
      <family val="2"/>
    </font>
    <font>
      <sz val="14"/>
      <color indexed="81"/>
      <name val="Tahoma"/>
      <family val="2"/>
    </font>
  </fonts>
  <fills count="9">
    <fill>
      <patternFill patternType="none"/>
    </fill>
    <fill>
      <patternFill patternType="gray125"/>
    </fill>
    <fill>
      <patternFill patternType="solid">
        <fgColor rgb="FF000000"/>
        <bgColor rgb="FF000000"/>
      </patternFill>
    </fill>
    <fill>
      <patternFill patternType="solid">
        <fgColor rgb="FFD6DCE4"/>
        <bgColor rgb="FF000000"/>
      </patternFill>
    </fill>
    <fill>
      <patternFill patternType="solid">
        <fgColor theme="1"/>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theme="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s>
  <cellStyleXfs count="2">
    <xf numFmtId="0" fontId="0" fillId="0" borderId="0"/>
    <xf numFmtId="0" fontId="17" fillId="0" borderId="0"/>
  </cellStyleXfs>
  <cellXfs count="186">
    <xf numFmtId="0" fontId="0" fillId="0" borderId="0" xfId="0"/>
    <xf numFmtId="0" fontId="0" fillId="0" borderId="0" xfId="0" applyFill="1"/>
    <xf numFmtId="0" fontId="1" fillId="0" borderId="0" xfId="0" applyFont="1"/>
    <xf numFmtId="0" fontId="0" fillId="0" borderId="1" xfId="0" applyBorder="1"/>
    <xf numFmtId="0" fontId="0" fillId="0" borderId="1" xfId="0" applyFill="1" applyBorder="1"/>
    <xf numFmtId="0" fontId="0" fillId="0" borderId="1" xfId="0" applyBorder="1" applyAlignment="1">
      <alignment wrapText="1"/>
    </xf>
    <xf numFmtId="0" fontId="0" fillId="0" borderId="0" xfId="0" applyAlignment="1">
      <alignment wrapText="1"/>
    </xf>
    <xf numFmtId="0" fontId="0" fillId="0" borderId="0" xfId="0" applyBorder="1"/>
    <xf numFmtId="0" fontId="0" fillId="0" borderId="0" xfId="0" applyFill="1" applyBorder="1"/>
    <xf numFmtId="0" fontId="0" fillId="0" borderId="1" xfId="0" applyFill="1" applyBorder="1" applyAlignment="1">
      <alignment wrapText="1"/>
    </xf>
    <xf numFmtId="0" fontId="8" fillId="2" borderId="1" xfId="0" applyFont="1" applyFill="1" applyBorder="1" applyAlignment="1">
      <alignment horizontal="center" wrapText="1"/>
    </xf>
    <xf numFmtId="0" fontId="6" fillId="0" borderId="1" xfId="0" applyFont="1" applyFill="1" applyBorder="1" applyAlignment="1">
      <alignment horizontal="center"/>
    </xf>
    <xf numFmtId="0" fontId="6" fillId="0" borderId="1" xfId="0" applyFont="1" applyFill="1" applyBorder="1" applyAlignment="1">
      <alignment horizontal="center" wrapText="1"/>
    </xf>
    <xf numFmtId="0" fontId="10" fillId="0" borderId="1" xfId="0" applyFont="1" applyFill="1" applyBorder="1" applyAlignment="1">
      <alignment horizontal="center"/>
    </xf>
    <xf numFmtId="0" fontId="10" fillId="0" borderId="1" xfId="0" applyFont="1" applyFill="1" applyBorder="1" applyAlignment="1">
      <alignment horizontal="center" wrapText="1"/>
    </xf>
    <xf numFmtId="3" fontId="0" fillId="0" borderId="1" xfId="0" applyNumberFormat="1" applyFill="1" applyBorder="1"/>
    <xf numFmtId="0" fontId="4" fillId="0" borderId="1" xfId="0" applyFont="1" applyFill="1" applyBorder="1" applyAlignment="1">
      <alignment wrapText="1"/>
    </xf>
    <xf numFmtId="0" fontId="0" fillId="0" borderId="1" xfId="0" applyFont="1" applyFill="1" applyBorder="1" applyAlignment="1">
      <alignment wrapText="1"/>
    </xf>
    <xf numFmtId="0" fontId="1" fillId="0" borderId="0" xfId="0" applyFont="1" applyFill="1" applyBorder="1"/>
    <xf numFmtId="0" fontId="4" fillId="0" borderId="0" xfId="0" applyFont="1" applyFill="1"/>
    <xf numFmtId="0" fontId="4" fillId="0" borderId="1" xfId="0" applyFont="1" applyFill="1" applyBorder="1"/>
    <xf numFmtId="0" fontId="0" fillId="0" borderId="1" xfId="0"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center" wrapText="1"/>
    </xf>
    <xf numFmtId="0" fontId="5" fillId="0" borderId="0" xfId="0" applyFont="1" applyFill="1" applyBorder="1" applyAlignment="1">
      <alignment horizontal="left"/>
    </xf>
    <xf numFmtId="0" fontId="5" fillId="0" borderId="0" xfId="0" applyFont="1" applyFill="1" applyBorder="1" applyAlignment="1">
      <alignment horizontal="left" wrapText="1"/>
    </xf>
    <xf numFmtId="0" fontId="0" fillId="0" borderId="0" xfId="0" applyFill="1" applyAlignment="1">
      <alignment horizontal="left"/>
    </xf>
    <xf numFmtId="0" fontId="0" fillId="0" borderId="1" xfId="0" applyBorder="1" applyAlignment="1">
      <alignment horizontal="center"/>
    </xf>
    <xf numFmtId="0" fontId="8" fillId="2" borderId="3" xfId="0" applyFont="1" applyFill="1" applyBorder="1" applyAlignment="1">
      <alignment horizontal="center" wrapText="1"/>
    </xf>
    <xf numFmtId="0" fontId="6" fillId="0" borderId="3" xfId="0" applyFont="1" applyFill="1" applyBorder="1" applyAlignment="1">
      <alignment horizontal="center"/>
    </xf>
    <xf numFmtId="0" fontId="5" fillId="3" borderId="9" xfId="0" applyFont="1" applyFill="1" applyBorder="1" applyAlignment="1">
      <alignment horizontal="center"/>
    </xf>
    <xf numFmtId="0" fontId="8" fillId="2" borderId="14" xfId="0" applyFont="1" applyFill="1" applyBorder="1" applyAlignment="1">
      <alignment horizontal="center" wrapText="1"/>
    </xf>
    <xf numFmtId="0" fontId="6" fillId="0" borderId="14" xfId="0" applyFont="1" applyFill="1" applyBorder="1" applyAlignment="1">
      <alignment horizontal="center"/>
    </xf>
    <xf numFmtId="0" fontId="0" fillId="0" borderId="14" xfId="0" applyBorder="1" applyAlignment="1">
      <alignment horizontal="center"/>
    </xf>
    <xf numFmtId="0" fontId="5" fillId="3" borderId="15" xfId="0" applyFont="1" applyFill="1" applyBorder="1" applyAlignment="1">
      <alignment horizontal="center"/>
    </xf>
    <xf numFmtId="0" fontId="6" fillId="0" borderId="4" xfId="0" applyFont="1" applyFill="1" applyBorder="1" applyAlignment="1">
      <alignment horizontal="center"/>
    </xf>
    <xf numFmtId="0" fontId="0" fillId="0" borderId="4" xfId="0" applyBorder="1" applyAlignment="1">
      <alignment horizontal="center"/>
    </xf>
    <xf numFmtId="0" fontId="5" fillId="0" borderId="19" xfId="0" applyFont="1" applyFill="1" applyBorder="1"/>
    <xf numFmtId="0" fontId="6" fillId="0" borderId="8" xfId="0" applyFont="1" applyFill="1" applyBorder="1" applyAlignment="1">
      <alignment wrapText="1"/>
    </xf>
    <xf numFmtId="0" fontId="5" fillId="0" borderId="8" xfId="0" applyFont="1" applyFill="1" applyBorder="1"/>
    <xf numFmtId="0" fontId="5" fillId="0" borderId="8" xfId="0" applyFont="1" applyFill="1" applyBorder="1" applyAlignment="1">
      <alignment wrapText="1"/>
    </xf>
    <xf numFmtId="0" fontId="1" fillId="0" borderId="8" xfId="0" applyFont="1" applyBorder="1" applyAlignment="1">
      <alignment wrapText="1"/>
    </xf>
    <xf numFmtId="0" fontId="6" fillId="0" borderId="17" xfId="0" applyFont="1" applyFill="1" applyBorder="1" applyAlignment="1">
      <alignment horizontal="center"/>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10" fillId="0" borderId="4" xfId="0" applyFont="1" applyFill="1" applyBorder="1" applyAlignment="1">
      <alignment horizontal="center"/>
    </xf>
    <xf numFmtId="0" fontId="9" fillId="0" borderId="8" xfId="0" applyFont="1" applyFill="1" applyBorder="1" applyAlignment="1"/>
    <xf numFmtId="0" fontId="5" fillId="0" borderId="9" xfId="0" applyFont="1" applyFill="1" applyBorder="1"/>
    <xf numFmtId="0" fontId="10" fillId="0" borderId="3" xfId="0" applyFont="1" applyFill="1" applyBorder="1" applyAlignment="1">
      <alignment horizontal="center"/>
    </xf>
    <xf numFmtId="0" fontId="6" fillId="0" borderId="23" xfId="0" applyFont="1" applyFill="1" applyBorder="1" applyAlignment="1">
      <alignment horizontal="center"/>
    </xf>
    <xf numFmtId="0" fontId="0" fillId="0" borderId="0" xfId="0" applyAlignment="1">
      <alignment horizontal="center"/>
    </xf>
    <xf numFmtId="0" fontId="1" fillId="5" borderId="8" xfId="0" applyFont="1" applyFill="1" applyBorder="1" applyAlignment="1">
      <alignment horizontal="center"/>
    </xf>
    <xf numFmtId="0" fontId="0" fillId="0" borderId="0" xfId="0" applyFill="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0" fillId="5" borderId="1" xfId="0" applyFill="1" applyBorder="1" applyAlignment="1">
      <alignment wrapText="1"/>
    </xf>
    <xf numFmtId="3" fontId="6" fillId="0" borderId="1" xfId="0" applyNumberFormat="1" applyFont="1" applyFill="1" applyBorder="1" applyAlignment="1">
      <alignment horizontal="center" wrapText="1"/>
    </xf>
    <xf numFmtId="3" fontId="6" fillId="0" borderId="1" xfId="0" applyNumberFormat="1" applyFont="1" applyFill="1" applyBorder="1" applyAlignment="1">
      <alignment horizontal="center"/>
    </xf>
    <xf numFmtId="3" fontId="0" fillId="0" borderId="0" xfId="0" applyNumberFormat="1"/>
    <xf numFmtId="0" fontId="1" fillId="0" borderId="0" xfId="0" applyFont="1" applyFill="1"/>
    <xf numFmtId="0" fontId="6" fillId="6" borderId="0" xfId="0" applyFont="1" applyFill="1"/>
    <xf numFmtId="0" fontId="1" fillId="0" borderId="24" xfId="0" applyFont="1" applyFill="1" applyBorder="1"/>
    <xf numFmtId="0" fontId="1" fillId="0" borderId="0" xfId="0" applyFont="1" applyAlignment="1">
      <alignment wrapText="1"/>
    </xf>
    <xf numFmtId="3" fontId="0" fillId="0" borderId="1" xfId="0" applyNumberFormat="1" applyFill="1" applyBorder="1" applyAlignment="1">
      <alignment wrapText="1"/>
    </xf>
    <xf numFmtId="4" fontId="0" fillId="0" borderId="1" xfId="0" applyNumberFormat="1" applyFill="1" applyBorder="1"/>
    <xf numFmtId="3" fontId="4" fillId="0" borderId="1" xfId="0" applyNumberFormat="1" applyFont="1" applyFill="1" applyBorder="1"/>
    <xf numFmtId="3" fontId="0" fillId="0" borderId="1" xfId="0" applyNumberFormat="1" applyBorder="1"/>
    <xf numFmtId="0" fontId="1" fillId="0" borderId="0" xfId="0" applyFont="1" applyFill="1" applyAlignment="1">
      <alignment wrapText="1"/>
    </xf>
    <xf numFmtId="0" fontId="6" fillId="0" borderId="0" xfId="0" applyFont="1" applyFill="1"/>
    <xf numFmtId="3" fontId="0" fillId="0" borderId="0" xfId="0" applyNumberFormat="1" applyBorder="1"/>
    <xf numFmtId="0" fontId="15" fillId="8" borderId="25" xfId="0" applyFont="1" applyFill="1" applyBorder="1" applyAlignment="1">
      <alignment wrapText="1"/>
    </xf>
    <xf numFmtId="3" fontId="0" fillId="0" borderId="1" xfId="0" applyNumberFormat="1" applyFont="1" applyFill="1" applyBorder="1" applyAlignment="1">
      <alignment wrapText="1"/>
    </xf>
    <xf numFmtId="0" fontId="0" fillId="0" borderId="0" xfId="0" applyFont="1" applyAlignment="1">
      <alignment wrapText="1"/>
    </xf>
    <xf numFmtId="0" fontId="0" fillId="0" borderId="20" xfId="0" applyFont="1" applyFill="1" applyBorder="1" applyAlignment="1">
      <alignment wrapText="1"/>
    </xf>
    <xf numFmtId="0" fontId="0" fillId="0" borderId="0" xfId="0" applyFont="1" applyFill="1" applyBorder="1" applyAlignment="1">
      <alignment wrapText="1"/>
    </xf>
    <xf numFmtId="0" fontId="0" fillId="0" borderId="0" xfId="0" applyFont="1" applyBorder="1" applyAlignment="1">
      <alignment wrapText="1"/>
    </xf>
    <xf numFmtId="0" fontId="0" fillId="0" borderId="1" xfId="0" applyFont="1" applyBorder="1" applyAlignment="1">
      <alignment wrapText="1"/>
    </xf>
    <xf numFmtId="0" fontId="1" fillId="8" borderId="1" xfId="0" applyFont="1" applyFill="1" applyBorder="1"/>
    <xf numFmtId="0" fontId="1" fillId="8" borderId="1" xfId="0" applyFont="1" applyFill="1" applyBorder="1" applyAlignment="1">
      <alignment wrapText="1"/>
    </xf>
    <xf numFmtId="0" fontId="0" fillId="0" borderId="26" xfId="0" applyFont="1" applyFill="1" applyBorder="1" applyAlignment="1">
      <alignment wrapText="1"/>
    </xf>
    <xf numFmtId="0" fontId="0" fillId="0" borderId="0" xfId="0" applyFill="1" applyAlignment="1">
      <alignment wrapText="1"/>
    </xf>
    <xf numFmtId="3" fontId="0" fillId="0" borderId="0" xfId="0" applyNumberFormat="1" applyFill="1"/>
    <xf numFmtId="3" fontId="1" fillId="0" borderId="0" xfId="0" applyNumberFormat="1" applyFont="1" applyAlignment="1">
      <alignment wrapText="1"/>
    </xf>
    <xf numFmtId="0" fontId="1" fillId="0" borderId="0" xfId="0" applyFont="1" applyFill="1" applyBorder="1" applyAlignment="1">
      <alignment wrapText="1"/>
    </xf>
    <xf numFmtId="3" fontId="1" fillId="0" borderId="0" xfId="0" applyNumberFormat="1" applyFont="1"/>
    <xf numFmtId="0" fontId="16" fillId="6" borderId="0" xfId="0" applyFont="1" applyFill="1" applyBorder="1"/>
    <xf numFmtId="0" fontId="16" fillId="6" borderId="0" xfId="0" applyFont="1" applyFill="1"/>
    <xf numFmtId="0" fontId="16" fillId="0" borderId="0" xfId="0" applyFont="1" applyFill="1"/>
    <xf numFmtId="3" fontId="1" fillId="0" borderId="0" xfId="0" applyNumberFormat="1" applyFont="1" applyBorder="1"/>
    <xf numFmtId="0" fontId="1" fillId="7" borderId="0" xfId="0" applyFont="1" applyFill="1" applyAlignment="1">
      <alignment wrapText="1"/>
    </xf>
    <xf numFmtId="3" fontId="1" fillId="7" borderId="0" xfId="0" applyNumberFormat="1" applyFont="1" applyFill="1"/>
    <xf numFmtId="0" fontId="0" fillId="0" borderId="24" xfId="0" applyFill="1" applyBorder="1"/>
    <xf numFmtId="0" fontId="8" fillId="2" borderId="27" xfId="0" applyFont="1" applyFill="1" applyBorder="1" applyAlignment="1">
      <alignment horizontal="center" wrapText="1"/>
    </xf>
    <xf numFmtId="0" fontId="12" fillId="4" borderId="27" xfId="0" applyFont="1" applyFill="1" applyBorder="1"/>
    <xf numFmtId="0" fontId="6" fillId="0" borderId="10" xfId="0" applyFont="1" applyFill="1" applyBorder="1" applyAlignment="1">
      <alignment horizontal="center"/>
    </xf>
    <xf numFmtId="0" fontId="6" fillId="0" borderId="11" xfId="0" applyFont="1" applyFill="1" applyBorder="1" applyAlignment="1">
      <alignment horizontal="center" wrapText="1"/>
    </xf>
    <xf numFmtId="0" fontId="6" fillId="0" borderId="11" xfId="0" applyFont="1" applyFill="1" applyBorder="1" applyAlignment="1">
      <alignment horizontal="center"/>
    </xf>
    <xf numFmtId="0" fontId="6" fillId="0" borderId="12" xfId="0" applyFont="1" applyFill="1" applyBorder="1" applyAlignment="1">
      <alignment horizontal="center"/>
    </xf>
    <xf numFmtId="0" fontId="6" fillId="0" borderId="13" xfId="0" applyFont="1" applyFill="1" applyBorder="1" applyAlignment="1">
      <alignment horizontal="center"/>
    </xf>
    <xf numFmtId="0" fontId="5" fillId="0" borderId="19" xfId="0" applyFont="1" applyFill="1" applyBorder="1" applyAlignment="1">
      <alignment wrapText="1"/>
    </xf>
    <xf numFmtId="0" fontId="1" fillId="5" borderId="19" xfId="0" applyFont="1" applyFill="1" applyBorder="1" applyAlignment="1">
      <alignment horizontal="center"/>
    </xf>
    <xf numFmtId="0" fontId="1" fillId="5" borderId="19" xfId="0" applyFont="1" applyFill="1" applyBorder="1"/>
    <xf numFmtId="0" fontId="1" fillId="5" borderId="8" xfId="0" applyFont="1" applyFill="1" applyBorder="1"/>
    <xf numFmtId="0" fontId="1" fillId="5" borderId="9" xfId="0" applyFont="1" applyFill="1" applyBorder="1" applyAlignment="1">
      <alignment horizontal="center"/>
    </xf>
    <xf numFmtId="0" fontId="5" fillId="0" borderId="29" xfId="0" applyFont="1" applyFill="1" applyBorder="1" applyAlignment="1">
      <alignment wrapText="1"/>
    </xf>
    <xf numFmtId="0" fontId="6" fillId="0" borderId="18" xfId="0" applyFont="1" applyFill="1" applyBorder="1" applyAlignment="1">
      <alignment horizontal="center"/>
    </xf>
    <xf numFmtId="0" fontId="6" fillId="0" borderId="2" xfId="0" applyFont="1" applyFill="1" applyBorder="1" applyAlignment="1">
      <alignment horizontal="center" wrapText="1"/>
    </xf>
    <xf numFmtId="0" fontId="6" fillId="0" borderId="2" xfId="0" applyFont="1" applyFill="1" applyBorder="1" applyAlignment="1">
      <alignment horizontal="center"/>
    </xf>
    <xf numFmtId="0" fontId="9" fillId="0" borderId="10" xfId="0" applyFont="1" applyFill="1" applyBorder="1" applyAlignment="1"/>
    <xf numFmtId="3" fontId="6" fillId="0" borderId="11" xfId="0" applyNumberFormat="1" applyFont="1" applyFill="1" applyBorder="1" applyAlignment="1">
      <alignment horizontal="center"/>
    </xf>
    <xf numFmtId="3" fontId="10" fillId="0" borderId="11" xfId="0" applyNumberFormat="1" applyFont="1" applyFill="1" applyBorder="1" applyAlignment="1">
      <alignment horizontal="center" wrapText="1"/>
    </xf>
    <xf numFmtId="3" fontId="10" fillId="0" borderId="11" xfId="0" applyNumberFormat="1" applyFont="1" applyFill="1" applyBorder="1" applyAlignment="1">
      <alignment horizontal="center"/>
    </xf>
    <xf numFmtId="3" fontId="1" fillId="5" borderId="11" xfId="0" applyNumberFormat="1" applyFont="1" applyFill="1" applyBorder="1" applyAlignment="1">
      <alignment horizontal="center"/>
    </xf>
    <xf numFmtId="0" fontId="1" fillId="5" borderId="12" xfId="0" applyFont="1" applyFill="1" applyBorder="1"/>
    <xf numFmtId="0" fontId="5" fillId="0" borderId="13" xfId="0" applyFont="1" applyFill="1" applyBorder="1"/>
    <xf numFmtId="3" fontId="1" fillId="5" borderId="1" xfId="0" applyNumberFormat="1" applyFont="1" applyFill="1" applyBorder="1" applyAlignment="1">
      <alignment horizontal="center"/>
    </xf>
    <xf numFmtId="0" fontId="1" fillId="5" borderId="14" xfId="0" applyFont="1" applyFill="1" applyBorder="1"/>
    <xf numFmtId="0" fontId="5" fillId="0" borderId="28" xfId="0" applyFont="1" applyFill="1" applyBorder="1"/>
    <xf numFmtId="3" fontId="6" fillId="0" borderId="15" xfId="0" applyNumberFormat="1" applyFont="1" applyFill="1" applyBorder="1" applyAlignment="1">
      <alignment horizontal="center"/>
    </xf>
    <xf numFmtId="3" fontId="6" fillId="0" borderId="15" xfId="0" applyNumberFormat="1" applyFont="1" applyFill="1" applyBorder="1" applyAlignment="1">
      <alignment horizontal="center" wrapText="1"/>
    </xf>
    <xf numFmtId="3" fontId="1" fillId="5" borderId="15" xfId="0" applyNumberFormat="1" applyFont="1" applyFill="1" applyBorder="1" applyAlignment="1">
      <alignment horizontal="center"/>
    </xf>
    <xf numFmtId="0" fontId="1" fillId="5" borderId="16" xfId="0" applyFont="1" applyFill="1" applyBorder="1"/>
    <xf numFmtId="0" fontId="0" fillId="0" borderId="1" xfId="0" applyFill="1" applyBorder="1" applyAlignment="1">
      <alignment horizontal="center"/>
    </xf>
    <xf numFmtId="0" fontId="0" fillId="0" borderId="1" xfId="0" applyFont="1" applyFill="1" applyBorder="1" applyAlignment="1">
      <alignment horizontal="center" wrapText="1"/>
    </xf>
    <xf numFmtId="3" fontId="4" fillId="0" borderId="1" xfId="0" applyNumberFormat="1" applyFont="1" applyFill="1" applyBorder="1" applyAlignment="1">
      <alignment horizontal="center" wrapText="1"/>
    </xf>
    <xf numFmtId="0" fontId="4" fillId="0" borderId="1" xfId="0" applyFont="1" applyFill="1" applyBorder="1" applyAlignment="1">
      <alignment horizontal="center" wrapText="1"/>
    </xf>
    <xf numFmtId="0" fontId="0" fillId="0" borderId="0" xfId="0" applyFont="1" applyFill="1"/>
    <xf numFmtId="0" fontId="0" fillId="0" borderId="1" xfId="0" applyFill="1" applyBorder="1" applyAlignment="1">
      <alignment horizontal="center" wrapText="1"/>
    </xf>
    <xf numFmtId="0" fontId="0" fillId="0" borderId="1" xfId="0" applyFont="1" applyFill="1" applyBorder="1" applyAlignment="1">
      <alignment horizontal="center"/>
    </xf>
    <xf numFmtId="0" fontId="0" fillId="0" borderId="1" xfId="0" applyFont="1" applyFill="1" applyBorder="1"/>
    <xf numFmtId="3" fontId="0" fillId="0" borderId="1" xfId="0" applyNumberFormat="1" applyFill="1" applyBorder="1" applyAlignment="1">
      <alignment horizontal="center"/>
    </xf>
    <xf numFmtId="0" fontId="17" fillId="0" borderId="1" xfId="1" applyFill="1" applyBorder="1" applyAlignment="1">
      <alignment wrapText="1"/>
    </xf>
    <xf numFmtId="3" fontId="0" fillId="0" borderId="1" xfId="0" applyNumberFormat="1" applyFont="1" applyFill="1" applyBorder="1" applyAlignment="1">
      <alignment horizontal="center" wrapText="1"/>
    </xf>
    <xf numFmtId="0" fontId="6" fillId="0" borderId="30" xfId="0" applyFont="1" applyFill="1" applyBorder="1" applyAlignment="1">
      <alignment horizontal="center"/>
    </xf>
    <xf numFmtId="0" fontId="6" fillId="0" borderId="31" xfId="0" applyFont="1" applyFill="1" applyBorder="1" applyAlignment="1">
      <alignment horizontal="center"/>
    </xf>
    <xf numFmtId="0" fontId="0" fillId="0" borderId="3" xfId="0" applyBorder="1" applyAlignment="1">
      <alignment horizontal="center"/>
    </xf>
    <xf numFmtId="0" fontId="6" fillId="0" borderId="22" xfId="0" applyFont="1" applyFill="1" applyBorder="1" applyAlignment="1">
      <alignment horizontal="center"/>
    </xf>
    <xf numFmtId="0" fontId="6" fillId="0" borderId="32" xfId="0" applyFont="1" applyFill="1" applyBorder="1" applyAlignment="1">
      <alignment horizontal="center"/>
    </xf>
    <xf numFmtId="0" fontId="0" fillId="0" borderId="24" xfId="0" applyFill="1" applyBorder="1" applyAlignment="1">
      <alignment wrapText="1"/>
    </xf>
    <xf numFmtId="3" fontId="0" fillId="0" borderId="1" xfId="0" applyNumberFormat="1" applyFill="1" applyBorder="1" applyAlignment="1">
      <alignment horizontal="center" wrapText="1"/>
    </xf>
    <xf numFmtId="3" fontId="0" fillId="0" borderId="0" xfId="0" applyNumberFormat="1" applyFill="1" applyAlignment="1">
      <alignment wrapText="1"/>
    </xf>
    <xf numFmtId="0" fontId="8" fillId="2" borderId="27" xfId="0" applyFont="1" applyFill="1" applyBorder="1" applyAlignment="1">
      <alignment horizontal="center" wrapText="1"/>
    </xf>
    <xf numFmtId="3" fontId="1" fillId="8" borderId="1" xfId="0" applyNumberFormat="1" applyFont="1" applyFill="1" applyBorder="1" applyAlignment="1">
      <alignment wrapText="1"/>
    </xf>
    <xf numFmtId="3" fontId="0" fillId="0" borderId="0" xfId="0" applyNumberFormat="1" applyFill="1" applyAlignment="1">
      <alignment horizontal="center"/>
    </xf>
    <xf numFmtId="0" fontId="5" fillId="5" borderId="9" xfId="0" applyFont="1" applyFill="1" applyBorder="1" applyAlignment="1">
      <alignment horizontal="center" wrapText="1"/>
    </xf>
    <xf numFmtId="0" fontId="1" fillId="0" borderId="0" xfId="0" applyFont="1" applyAlignment="1">
      <alignment horizontal="center"/>
    </xf>
    <xf numFmtId="0" fontId="8" fillId="2" borderId="33" xfId="0" applyFont="1" applyFill="1" applyBorder="1" applyAlignment="1">
      <alignment horizontal="center" wrapText="1"/>
    </xf>
    <xf numFmtId="0" fontId="0" fillId="7" borderId="0" xfId="0" applyFill="1" applyBorder="1"/>
    <xf numFmtId="0" fontId="16" fillId="5" borderId="28" xfId="0" applyFont="1" applyFill="1" applyBorder="1" applyAlignment="1">
      <alignment horizontal="center"/>
    </xf>
    <xf numFmtId="0" fontId="16" fillId="5" borderId="15" xfId="0" applyFont="1" applyFill="1" applyBorder="1" applyAlignment="1">
      <alignment horizontal="center"/>
    </xf>
    <xf numFmtId="0" fontId="16" fillId="5" borderId="16" xfId="0" applyFont="1" applyFill="1" applyBorder="1" applyAlignment="1">
      <alignment horizontal="center"/>
    </xf>
    <xf numFmtId="0" fontId="5" fillId="0" borderId="13" xfId="0" applyFont="1" applyFill="1" applyBorder="1" applyAlignment="1">
      <alignment wrapText="1"/>
    </xf>
    <xf numFmtId="2" fontId="1" fillId="0" borderId="0" xfId="0" applyNumberFormat="1" applyFont="1" applyAlignment="1">
      <alignment vertical="center" wrapText="1"/>
    </xf>
    <xf numFmtId="2" fontId="0" fillId="0" borderId="0" xfId="0" applyNumberForma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xf numFmtId="0" fontId="0" fillId="0" borderId="0" xfId="0" applyAlignment="1">
      <alignment wrapText="1"/>
    </xf>
    <xf numFmtId="0" fontId="8" fillId="2" borderId="27" xfId="0" applyFont="1" applyFill="1" applyBorder="1" applyAlignment="1">
      <alignment horizontal="center" wrapText="1"/>
    </xf>
    <xf numFmtId="0" fontId="8" fillId="2" borderId="19" xfId="0" applyFont="1" applyFill="1" applyBorder="1" applyAlignment="1">
      <alignment horizontal="center" wrapText="1"/>
    </xf>
    <xf numFmtId="0" fontId="8" fillId="2" borderId="8" xfId="0" applyFont="1" applyFill="1" applyBorder="1" applyAlignment="1">
      <alignment horizontal="center" wrapText="1"/>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7" xfId="0" applyFont="1" applyFill="1" applyBorder="1" applyAlignment="1">
      <alignment horizontal="center"/>
    </xf>
    <xf numFmtId="0" fontId="12" fillId="4" borderId="27" xfId="0" applyFont="1" applyFill="1" applyBorder="1" applyAlignment="1">
      <alignment horizontal="center"/>
    </xf>
    <xf numFmtId="0" fontId="11" fillId="4" borderId="27" xfId="0" applyFont="1" applyFill="1" applyBorder="1" applyAlignment="1">
      <alignment horizontal="center"/>
    </xf>
    <xf numFmtId="0" fontId="8" fillId="2" borderId="19" xfId="0" applyFont="1" applyFill="1" applyBorder="1" applyAlignment="1"/>
    <xf numFmtId="0" fontId="8" fillId="2" borderId="8" xfId="0" applyFont="1" applyFill="1" applyBorder="1" applyAlignment="1"/>
    <xf numFmtId="0" fontId="8" fillId="2" borderId="1" xfId="0" applyFont="1" applyFill="1" applyBorder="1" applyAlignment="1">
      <alignment horizontal="center"/>
    </xf>
    <xf numFmtId="0" fontId="8" fillId="2" borderId="3" xfId="0" applyFont="1" applyFill="1" applyBorder="1" applyAlignment="1">
      <alignment horizontal="center"/>
    </xf>
    <xf numFmtId="0" fontId="5" fillId="0" borderId="2" xfId="0" applyFont="1" applyFill="1" applyBorder="1" applyAlignment="1"/>
    <xf numFmtId="0" fontId="6" fillId="0" borderId="2" xfId="0" applyFont="1" applyFill="1" applyBorder="1" applyAlignment="1"/>
    <xf numFmtId="0" fontId="7" fillId="2" borderId="10" xfId="0" applyFont="1" applyFill="1" applyBorder="1" applyAlignment="1">
      <alignment horizontal="center"/>
    </xf>
    <xf numFmtId="0" fontId="7" fillId="2" borderId="11" xfId="0" applyFont="1" applyFill="1" applyBorder="1" applyAlignment="1">
      <alignment horizontal="center"/>
    </xf>
    <xf numFmtId="0" fontId="7" fillId="2" borderId="22" xfId="0" applyFont="1" applyFill="1" applyBorder="1" applyAlignment="1">
      <alignment horizontal="center"/>
    </xf>
    <xf numFmtId="0" fontId="7" fillId="2" borderId="12" xfId="0" applyFont="1" applyFill="1" applyBorder="1" applyAlignment="1">
      <alignment horizontal="center"/>
    </xf>
    <xf numFmtId="0" fontId="8" fillId="2" borderId="13" xfId="0" applyFont="1" applyFill="1" applyBorder="1" applyAlignment="1"/>
    <xf numFmtId="0" fontId="8" fillId="2" borderId="18" xfId="0" applyFont="1" applyFill="1" applyBorder="1" applyAlignment="1"/>
    <xf numFmtId="0" fontId="8" fillId="2" borderId="14" xfId="0" applyFont="1" applyFill="1" applyBorder="1" applyAlignment="1">
      <alignment horizontal="center"/>
    </xf>
    <xf numFmtId="0" fontId="5" fillId="0" borderId="0" xfId="0" applyFont="1" applyFill="1" applyBorder="1" applyAlignment="1"/>
    <xf numFmtId="0" fontId="6" fillId="0" borderId="0" xfId="0" applyFont="1" applyFill="1" applyBorder="1" applyAlignment="1"/>
    <xf numFmtId="0" fontId="7" fillId="2" borderId="21" xfId="0" applyFont="1" applyFill="1" applyBorder="1" applyAlignment="1">
      <alignment horizontal="center"/>
    </xf>
    <xf numFmtId="0" fontId="7" fillId="2" borderId="27" xfId="0" applyFont="1" applyFill="1" applyBorder="1" applyAlignment="1">
      <alignment horizontal="center"/>
    </xf>
    <xf numFmtId="0" fontId="8" fillId="2" borderId="27" xfId="0" applyFont="1" applyFill="1" applyBorder="1" applyAlignment="1"/>
    <xf numFmtId="0" fontId="8" fillId="2" borderId="27"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tabSelected="1" topLeftCell="A10" workbookViewId="0">
      <selection activeCell="T7" sqref="T7"/>
    </sheetView>
  </sheetViews>
  <sheetFormatPr defaultRowHeight="15" x14ac:dyDescent="0.25"/>
  <cols>
    <col min="1" max="1" width="19.5703125" customWidth="1"/>
    <col min="2" max="2" width="9" customWidth="1"/>
    <col min="3" max="4" width="7.42578125" customWidth="1"/>
    <col min="5" max="5" width="8.140625" customWidth="1"/>
    <col min="6" max="6" width="7.140625" customWidth="1"/>
    <col min="7" max="7" width="8.28515625" customWidth="1"/>
    <col min="8" max="8" width="9.7109375" customWidth="1"/>
    <col min="9" max="9" width="8.5703125" customWidth="1"/>
    <col min="10" max="10" width="6.5703125" customWidth="1"/>
    <col min="11" max="11" width="10.28515625" customWidth="1"/>
    <col min="12" max="12" width="8.42578125" customWidth="1"/>
    <col min="13" max="13" width="8.28515625" customWidth="1"/>
    <col min="14" max="14" width="7" customWidth="1"/>
    <col min="15" max="15" width="7.85546875" customWidth="1"/>
    <col min="16" max="16" width="10.85546875" customWidth="1"/>
    <col min="17" max="17" width="9.28515625" style="50" customWidth="1"/>
    <col min="18" max="18" width="10.140625" hidden="1" customWidth="1"/>
    <col min="20" max="20" width="69.5703125" customWidth="1"/>
    <col min="21" max="21" width="10.140625" bestFit="1" customWidth="1"/>
  </cols>
  <sheetData>
    <row r="1" spans="1:21" ht="15.75" thickBot="1" x14ac:dyDescent="0.3">
      <c r="A1" s="171" t="s">
        <v>387</v>
      </c>
      <c r="B1" s="172"/>
      <c r="C1" s="172"/>
      <c r="D1" s="172"/>
      <c r="E1" s="172"/>
      <c r="F1" s="172"/>
      <c r="G1" s="172"/>
      <c r="H1" s="172"/>
      <c r="I1" s="172"/>
      <c r="J1" s="172"/>
      <c r="K1" s="172"/>
      <c r="L1" s="172"/>
      <c r="M1" s="172"/>
      <c r="N1" s="172"/>
      <c r="O1" s="172"/>
      <c r="P1" s="172"/>
    </row>
    <row r="2" spans="1:21" ht="21" x14ac:dyDescent="0.35">
      <c r="A2" s="173" t="s">
        <v>388</v>
      </c>
      <c r="B2" s="174"/>
      <c r="C2" s="174"/>
      <c r="D2" s="174"/>
      <c r="E2" s="174"/>
      <c r="F2" s="174"/>
      <c r="G2" s="174"/>
      <c r="H2" s="174"/>
      <c r="I2" s="174"/>
      <c r="J2" s="174"/>
      <c r="K2" s="174"/>
      <c r="L2" s="174"/>
      <c r="M2" s="174"/>
      <c r="N2" s="174"/>
      <c r="O2" s="175"/>
      <c r="P2" s="176"/>
      <c r="Q2" s="162" t="s">
        <v>392</v>
      </c>
    </row>
    <row r="3" spans="1:21" x14ac:dyDescent="0.25">
      <c r="A3" s="177" t="s">
        <v>389</v>
      </c>
      <c r="B3" s="169"/>
      <c r="C3" s="169"/>
      <c r="D3" s="169"/>
      <c r="E3" s="169"/>
      <c r="F3" s="169"/>
      <c r="G3" s="169"/>
      <c r="H3" s="169"/>
      <c r="I3" s="169"/>
      <c r="J3" s="169"/>
      <c r="K3" s="169"/>
      <c r="L3" s="169"/>
      <c r="M3" s="169"/>
      <c r="N3" s="169"/>
      <c r="O3" s="170"/>
      <c r="P3" s="179"/>
      <c r="Q3" s="163"/>
    </row>
    <row r="4" spans="1:21" ht="30" customHeight="1" thickBot="1" x14ac:dyDescent="0.3">
      <c r="A4" s="178"/>
      <c r="B4" s="10" t="s">
        <v>232</v>
      </c>
      <c r="C4" s="10" t="s">
        <v>563</v>
      </c>
      <c r="D4" s="10" t="s">
        <v>187</v>
      </c>
      <c r="E4" s="10" t="s">
        <v>231</v>
      </c>
      <c r="F4" s="10" t="s">
        <v>615</v>
      </c>
      <c r="G4" s="10" t="s">
        <v>96</v>
      </c>
      <c r="H4" s="10" t="s">
        <v>45</v>
      </c>
      <c r="I4" s="10" t="s">
        <v>639</v>
      </c>
      <c r="J4" s="10" t="s">
        <v>16</v>
      </c>
      <c r="K4" s="10" t="s">
        <v>670</v>
      </c>
      <c r="L4" s="10" t="s">
        <v>679</v>
      </c>
      <c r="M4" s="10" t="s">
        <v>162</v>
      </c>
      <c r="N4" s="10" t="s">
        <v>110</v>
      </c>
      <c r="O4" s="28" t="s">
        <v>726</v>
      </c>
      <c r="P4" s="31" t="s">
        <v>129</v>
      </c>
      <c r="Q4" s="164"/>
    </row>
    <row r="5" spans="1:21" x14ac:dyDescent="0.25">
      <c r="A5" s="37" t="s">
        <v>390</v>
      </c>
      <c r="B5" s="12">
        <v>1</v>
      </c>
      <c r="C5" s="12">
        <v>0</v>
      </c>
      <c r="D5" s="11">
        <v>1</v>
      </c>
      <c r="E5" s="11">
        <v>0</v>
      </c>
      <c r="F5" s="11">
        <v>0</v>
      </c>
      <c r="G5" s="11">
        <v>0</v>
      </c>
      <c r="H5" s="11">
        <v>0</v>
      </c>
      <c r="I5" s="35">
        <v>0</v>
      </c>
      <c r="J5" s="35">
        <v>0</v>
      </c>
      <c r="K5" s="35">
        <v>0</v>
      </c>
      <c r="L5" s="35">
        <v>0</v>
      </c>
      <c r="M5" s="11">
        <v>2</v>
      </c>
      <c r="N5" s="11">
        <v>0</v>
      </c>
      <c r="O5" s="29">
        <v>0</v>
      </c>
      <c r="P5" s="32">
        <v>1</v>
      </c>
      <c r="Q5" s="51">
        <f t="shared" ref="Q5:Q14" si="0">SUM(B5:P5)</f>
        <v>5</v>
      </c>
    </row>
    <row r="6" spans="1:21" ht="45" x14ac:dyDescent="0.25">
      <c r="A6" s="38" t="s">
        <v>397</v>
      </c>
      <c r="B6" s="12">
        <v>1</v>
      </c>
      <c r="C6" s="12">
        <v>0</v>
      </c>
      <c r="D6" s="11">
        <v>1</v>
      </c>
      <c r="E6" s="11">
        <v>0</v>
      </c>
      <c r="F6" s="11">
        <v>0</v>
      </c>
      <c r="G6" s="11">
        <v>0</v>
      </c>
      <c r="H6" s="11">
        <v>0</v>
      </c>
      <c r="I6" s="35">
        <v>0</v>
      </c>
      <c r="J6" s="35">
        <v>0</v>
      </c>
      <c r="K6" s="35">
        <v>0</v>
      </c>
      <c r="L6" s="35">
        <v>0</v>
      </c>
      <c r="M6" s="11">
        <v>0</v>
      </c>
      <c r="N6" s="11">
        <v>0</v>
      </c>
      <c r="O6" s="29">
        <v>4</v>
      </c>
      <c r="P6" s="32">
        <v>0</v>
      </c>
      <c r="Q6" s="51">
        <f t="shared" si="0"/>
        <v>6</v>
      </c>
    </row>
    <row r="7" spans="1:21" x14ac:dyDescent="0.25">
      <c r="A7" s="39" t="s">
        <v>28</v>
      </c>
      <c r="B7" s="12">
        <v>0</v>
      </c>
      <c r="C7" s="12">
        <v>0</v>
      </c>
      <c r="D7" s="11">
        <v>1</v>
      </c>
      <c r="E7" s="11">
        <v>0</v>
      </c>
      <c r="F7" s="11">
        <v>1</v>
      </c>
      <c r="G7" s="11">
        <v>6</v>
      </c>
      <c r="H7" s="11">
        <v>3</v>
      </c>
      <c r="I7" s="35">
        <v>4</v>
      </c>
      <c r="J7" s="35">
        <f>4</f>
        <v>4</v>
      </c>
      <c r="K7" s="35">
        <v>0</v>
      </c>
      <c r="L7" s="35">
        <v>3</v>
      </c>
      <c r="M7" s="11">
        <v>1</v>
      </c>
      <c r="N7" s="11">
        <v>2</v>
      </c>
      <c r="O7" s="29">
        <v>1</v>
      </c>
      <c r="P7" s="32">
        <v>2</v>
      </c>
      <c r="Q7" s="51">
        <f t="shared" si="0"/>
        <v>28</v>
      </c>
    </row>
    <row r="8" spans="1:21" x14ac:dyDescent="0.25">
      <c r="A8" s="39" t="s">
        <v>33</v>
      </c>
      <c r="B8" s="12">
        <v>2</v>
      </c>
      <c r="C8" s="12">
        <v>1</v>
      </c>
      <c r="D8" s="11">
        <v>1</v>
      </c>
      <c r="E8" s="11">
        <v>1</v>
      </c>
      <c r="F8" s="11">
        <v>2</v>
      </c>
      <c r="G8" s="11">
        <v>4</v>
      </c>
      <c r="H8" s="11">
        <v>2</v>
      </c>
      <c r="I8" s="35">
        <v>1</v>
      </c>
      <c r="J8" s="35">
        <f>1</f>
        <v>1</v>
      </c>
      <c r="K8" s="35">
        <v>1</v>
      </c>
      <c r="L8" s="35">
        <v>3</v>
      </c>
      <c r="M8" s="11">
        <v>0</v>
      </c>
      <c r="N8" s="11">
        <v>3</v>
      </c>
      <c r="O8" s="29">
        <v>0</v>
      </c>
      <c r="P8" s="32">
        <v>4</v>
      </c>
      <c r="Q8" s="51">
        <f t="shared" si="0"/>
        <v>26</v>
      </c>
    </row>
    <row r="9" spans="1:21" ht="75" x14ac:dyDescent="0.25">
      <c r="A9" s="38" t="s">
        <v>398</v>
      </c>
      <c r="B9" s="12">
        <v>1</v>
      </c>
      <c r="C9" s="12">
        <v>1</v>
      </c>
      <c r="D9" s="11">
        <v>1</v>
      </c>
      <c r="E9" s="11">
        <v>0</v>
      </c>
      <c r="F9" s="11">
        <v>1</v>
      </c>
      <c r="G9" s="11">
        <v>0</v>
      </c>
      <c r="H9" s="11">
        <v>3</v>
      </c>
      <c r="I9" s="35">
        <v>1</v>
      </c>
      <c r="J9" s="35">
        <v>0</v>
      </c>
      <c r="K9" s="35">
        <v>0</v>
      </c>
      <c r="L9" s="35">
        <v>2</v>
      </c>
      <c r="M9" s="11">
        <v>0</v>
      </c>
      <c r="N9" s="11">
        <v>0</v>
      </c>
      <c r="O9" s="29">
        <v>0</v>
      </c>
      <c r="P9" s="32">
        <v>3</v>
      </c>
      <c r="Q9" s="51">
        <f t="shared" si="0"/>
        <v>13</v>
      </c>
    </row>
    <row r="10" spans="1:21" x14ac:dyDescent="0.25">
      <c r="A10" s="39" t="s">
        <v>78</v>
      </c>
      <c r="B10" s="12">
        <v>0</v>
      </c>
      <c r="C10" s="12">
        <v>0</v>
      </c>
      <c r="D10" s="11">
        <v>0</v>
      </c>
      <c r="E10" s="11">
        <v>1</v>
      </c>
      <c r="F10" s="11">
        <v>0</v>
      </c>
      <c r="G10" s="11">
        <v>0</v>
      </c>
      <c r="H10" s="11">
        <v>2</v>
      </c>
      <c r="I10" s="35">
        <v>0</v>
      </c>
      <c r="J10" s="35">
        <v>0</v>
      </c>
      <c r="K10" s="35">
        <v>0</v>
      </c>
      <c r="L10" s="35">
        <v>0</v>
      </c>
      <c r="M10" s="11">
        <v>0</v>
      </c>
      <c r="N10" s="11">
        <v>0</v>
      </c>
      <c r="O10" s="29">
        <v>0</v>
      </c>
      <c r="P10" s="32">
        <v>0</v>
      </c>
      <c r="Q10" s="51">
        <f t="shared" si="0"/>
        <v>3</v>
      </c>
    </row>
    <row r="11" spans="1:21" x14ac:dyDescent="0.25">
      <c r="A11" s="39" t="s">
        <v>290</v>
      </c>
      <c r="B11" s="12">
        <v>0</v>
      </c>
      <c r="C11" s="12">
        <v>0</v>
      </c>
      <c r="D11" s="11">
        <v>0</v>
      </c>
      <c r="E11" s="11">
        <v>0</v>
      </c>
      <c r="F11" s="11">
        <v>0</v>
      </c>
      <c r="G11" s="11">
        <v>1</v>
      </c>
      <c r="H11" s="11">
        <v>0</v>
      </c>
      <c r="I11" s="35">
        <v>0</v>
      </c>
      <c r="J11" s="35">
        <v>0</v>
      </c>
      <c r="K11" s="35">
        <v>0</v>
      </c>
      <c r="L11" s="35">
        <v>0</v>
      </c>
      <c r="M11" s="11">
        <v>0</v>
      </c>
      <c r="N11" s="11">
        <v>0</v>
      </c>
      <c r="O11" s="29">
        <v>0</v>
      </c>
      <c r="P11" s="32">
        <v>0</v>
      </c>
      <c r="Q11" s="51">
        <f t="shared" si="0"/>
        <v>1</v>
      </c>
    </row>
    <row r="12" spans="1:21" x14ac:dyDescent="0.25">
      <c r="A12" s="39" t="s">
        <v>391</v>
      </c>
      <c r="B12" s="12">
        <v>0</v>
      </c>
      <c r="C12" s="12">
        <v>0</v>
      </c>
      <c r="D12" s="11">
        <v>0</v>
      </c>
      <c r="E12" s="11">
        <v>0</v>
      </c>
      <c r="F12" s="11">
        <v>0</v>
      </c>
      <c r="G12" s="11">
        <v>1</v>
      </c>
      <c r="H12" s="11">
        <v>0</v>
      </c>
      <c r="I12" s="35">
        <v>0</v>
      </c>
      <c r="J12" s="35">
        <v>0</v>
      </c>
      <c r="K12" s="35">
        <v>0</v>
      </c>
      <c r="L12" s="35">
        <v>0</v>
      </c>
      <c r="M12" s="11">
        <v>0</v>
      </c>
      <c r="N12" s="11">
        <v>0</v>
      </c>
      <c r="O12" s="29">
        <v>0</v>
      </c>
      <c r="P12" s="32">
        <v>0</v>
      </c>
      <c r="Q12" s="51">
        <f t="shared" si="0"/>
        <v>1</v>
      </c>
    </row>
    <row r="13" spans="1:21" ht="30" x14ac:dyDescent="0.25">
      <c r="A13" s="40" t="s">
        <v>15</v>
      </c>
      <c r="B13" s="12">
        <v>4</v>
      </c>
      <c r="C13" s="12">
        <v>7</v>
      </c>
      <c r="D13" s="11">
        <v>1</v>
      </c>
      <c r="E13" s="11">
        <v>0</v>
      </c>
      <c r="F13" s="11">
        <v>0</v>
      </c>
      <c r="G13" s="11">
        <v>1</v>
      </c>
      <c r="H13" s="11">
        <v>1</v>
      </c>
      <c r="I13" s="35">
        <v>0</v>
      </c>
      <c r="J13" s="35">
        <f>1</f>
        <v>1</v>
      </c>
      <c r="K13" s="35">
        <v>1</v>
      </c>
      <c r="L13" s="35">
        <v>1</v>
      </c>
      <c r="M13" s="11">
        <v>3</v>
      </c>
      <c r="N13" s="11">
        <v>0</v>
      </c>
      <c r="O13" s="29">
        <v>2</v>
      </c>
      <c r="P13" s="32">
        <v>1</v>
      </c>
      <c r="Q13" s="51">
        <f t="shared" si="0"/>
        <v>23</v>
      </c>
    </row>
    <row r="14" spans="1:21" ht="30" x14ac:dyDescent="0.25">
      <c r="A14" s="41" t="s">
        <v>516</v>
      </c>
      <c r="B14" s="27">
        <v>0</v>
      </c>
      <c r="C14" s="27">
        <v>0</v>
      </c>
      <c r="D14" s="27">
        <v>0</v>
      </c>
      <c r="E14" s="27">
        <v>0</v>
      </c>
      <c r="F14" s="27">
        <v>0</v>
      </c>
      <c r="G14" s="27"/>
      <c r="H14" s="27">
        <v>1</v>
      </c>
      <c r="I14" s="36">
        <v>0</v>
      </c>
      <c r="J14" s="36">
        <v>0</v>
      </c>
      <c r="K14" s="36">
        <v>0</v>
      </c>
      <c r="L14" s="36">
        <v>0</v>
      </c>
      <c r="M14" s="27">
        <v>0</v>
      </c>
      <c r="N14" s="27">
        <v>0</v>
      </c>
      <c r="O14" s="135">
        <v>0</v>
      </c>
      <c r="P14" s="33">
        <v>0</v>
      </c>
      <c r="Q14" s="51">
        <f t="shared" si="0"/>
        <v>1</v>
      </c>
    </row>
    <row r="15" spans="1:21" ht="15.75" thickBot="1" x14ac:dyDescent="0.3">
      <c r="A15" s="30" t="s">
        <v>392</v>
      </c>
      <c r="B15" s="34">
        <f t="shared" ref="B15:P15" si="1">SUM(B5:B14)</f>
        <v>9</v>
      </c>
      <c r="C15" s="34">
        <f t="shared" si="1"/>
        <v>9</v>
      </c>
      <c r="D15" s="34">
        <f t="shared" si="1"/>
        <v>6</v>
      </c>
      <c r="E15" s="34">
        <f t="shared" si="1"/>
        <v>2</v>
      </c>
      <c r="F15" s="34">
        <f t="shared" si="1"/>
        <v>4</v>
      </c>
      <c r="G15" s="34">
        <f t="shared" si="1"/>
        <v>13</v>
      </c>
      <c r="H15" s="34">
        <f t="shared" si="1"/>
        <v>12</v>
      </c>
      <c r="I15" s="34">
        <f t="shared" si="1"/>
        <v>6</v>
      </c>
      <c r="J15" s="34">
        <f t="shared" si="1"/>
        <v>6</v>
      </c>
      <c r="K15" s="34">
        <f t="shared" si="1"/>
        <v>2</v>
      </c>
      <c r="L15" s="34">
        <f t="shared" si="1"/>
        <v>9</v>
      </c>
      <c r="M15" s="34">
        <f t="shared" si="1"/>
        <v>6</v>
      </c>
      <c r="N15" s="34">
        <f t="shared" si="1"/>
        <v>5</v>
      </c>
      <c r="O15" s="34">
        <f t="shared" si="1"/>
        <v>7</v>
      </c>
      <c r="P15" s="34">
        <f t="shared" si="1"/>
        <v>11</v>
      </c>
      <c r="Q15" s="30">
        <f>SUM(Q5:Q14)</f>
        <v>107</v>
      </c>
    </row>
    <row r="16" spans="1:21" s="1" customFormat="1" x14ac:dyDescent="0.25">
      <c r="A16" s="22"/>
      <c r="B16" s="23"/>
      <c r="C16" s="23"/>
      <c r="D16" s="22"/>
      <c r="E16" s="22"/>
      <c r="F16" s="22"/>
      <c r="G16" s="22"/>
      <c r="H16" s="22"/>
      <c r="I16" s="22"/>
      <c r="J16" s="22"/>
      <c r="K16" s="22"/>
      <c r="L16" s="22"/>
      <c r="M16" s="22"/>
      <c r="N16" s="22"/>
      <c r="O16" s="22"/>
      <c r="P16" s="22"/>
      <c r="Q16" s="52"/>
      <c r="T16" s="59"/>
      <c r="U16" s="59"/>
    </row>
    <row r="17" spans="1:21" s="26" customFormat="1" ht="15.75" thickBot="1" x14ac:dyDescent="0.3">
      <c r="A17" s="24" t="s">
        <v>771</v>
      </c>
      <c r="B17" s="25"/>
      <c r="C17" s="25"/>
      <c r="D17" s="24"/>
      <c r="E17" s="24"/>
      <c r="F17" s="24"/>
      <c r="G17" s="24"/>
      <c r="H17" s="24"/>
      <c r="I17" s="24"/>
      <c r="J17" s="24"/>
      <c r="K17" s="24"/>
      <c r="L17" s="24"/>
      <c r="M17" s="24"/>
      <c r="N17" s="24"/>
      <c r="O17" s="24"/>
      <c r="P17" s="24"/>
      <c r="Q17" s="52"/>
      <c r="T17"/>
    </row>
    <row r="18" spans="1:21" ht="21.75" thickBot="1" x14ac:dyDescent="0.4">
      <c r="A18" s="183" t="s">
        <v>511</v>
      </c>
      <c r="B18" s="183"/>
      <c r="C18" s="183"/>
      <c r="D18" s="183"/>
      <c r="E18" s="183"/>
      <c r="F18" s="183"/>
      <c r="G18" s="183"/>
      <c r="H18" s="183"/>
      <c r="I18" s="183"/>
      <c r="J18" s="183"/>
      <c r="K18" s="183"/>
      <c r="L18" s="183"/>
      <c r="M18" s="183"/>
      <c r="N18" s="183"/>
      <c r="O18" s="183"/>
      <c r="P18" s="183"/>
      <c r="Q18" s="159" t="s">
        <v>779</v>
      </c>
      <c r="R18" s="159"/>
    </row>
    <row r="19" spans="1:21" ht="15.75" thickBot="1" x14ac:dyDescent="0.3">
      <c r="A19" s="184" t="s">
        <v>518</v>
      </c>
      <c r="B19" s="185"/>
      <c r="C19" s="185"/>
      <c r="D19" s="185"/>
      <c r="E19" s="185"/>
      <c r="F19" s="185"/>
      <c r="G19" s="185"/>
      <c r="H19" s="185"/>
      <c r="I19" s="185"/>
      <c r="J19" s="185"/>
      <c r="K19" s="185"/>
      <c r="L19" s="185"/>
      <c r="M19" s="185"/>
      <c r="N19" s="185"/>
      <c r="O19" s="185"/>
      <c r="P19" s="185"/>
      <c r="Q19" s="159"/>
      <c r="R19" s="159"/>
    </row>
    <row r="20" spans="1:21" ht="33" customHeight="1" thickBot="1" x14ac:dyDescent="0.3">
      <c r="A20" s="184"/>
      <c r="B20" s="92" t="s">
        <v>232</v>
      </c>
      <c r="C20" s="10" t="s">
        <v>563</v>
      </c>
      <c r="D20" s="10" t="s">
        <v>187</v>
      </c>
      <c r="E20" s="10" t="s">
        <v>231</v>
      </c>
      <c r="F20" s="10" t="s">
        <v>615</v>
      </c>
      <c r="G20" s="10" t="s">
        <v>96</v>
      </c>
      <c r="H20" s="10" t="s">
        <v>45</v>
      </c>
      <c r="I20" s="10" t="s">
        <v>639</v>
      </c>
      <c r="J20" s="10" t="s">
        <v>16</v>
      </c>
      <c r="K20" s="10" t="s">
        <v>670</v>
      </c>
      <c r="L20" s="10" t="s">
        <v>679</v>
      </c>
      <c r="M20" s="10" t="s">
        <v>162</v>
      </c>
      <c r="N20" s="10" t="s">
        <v>110</v>
      </c>
      <c r="O20" s="28" t="s">
        <v>726</v>
      </c>
      <c r="P20" s="31" t="s">
        <v>129</v>
      </c>
      <c r="Q20" s="159"/>
      <c r="R20" s="159"/>
    </row>
    <row r="21" spans="1:21" x14ac:dyDescent="0.25">
      <c r="A21" s="108" t="s">
        <v>558</v>
      </c>
      <c r="B21" s="110">
        <f>SUM(Alameda!Q2:Q10)</f>
        <v>196563.14</v>
      </c>
      <c r="C21" s="110">
        <f>SUM('Contra Costa'!K18)</f>
        <v>0</v>
      </c>
      <c r="D21" s="111">
        <f>SUM(Fresno!Q2:Q7)</f>
        <v>0</v>
      </c>
      <c r="E21" s="111">
        <f>SUM(Kings!Q2:Q3)</f>
        <v>0</v>
      </c>
      <c r="F21" s="111">
        <f>SUM(Marin!K13)</f>
        <v>0</v>
      </c>
      <c r="G21" s="111">
        <f>SUM(Merced!Q2:Q14)</f>
        <v>1000</v>
      </c>
      <c r="H21" s="111">
        <f>SUM(Monterey!Q2:Q13)</f>
        <v>25000</v>
      </c>
      <c r="I21" s="111">
        <f>SUM(Napa!K15)</f>
        <v>0</v>
      </c>
      <c r="J21" s="109">
        <f>SUM('San Benito'!W2:W7)</f>
        <v>0</v>
      </c>
      <c r="K21" s="109">
        <f>SUM('San Francisco'!K11)</f>
        <v>0</v>
      </c>
      <c r="L21" s="109">
        <f>SUM('San Joaquin'!K18)</f>
        <v>0</v>
      </c>
      <c r="M21" s="111">
        <f>SUM('San Mateo'!Q2:Q7)</f>
        <v>1580</v>
      </c>
      <c r="N21" s="111">
        <f>SUM('Santa Cruz'!Q2:Q6)</f>
        <v>0</v>
      </c>
      <c r="O21" s="111">
        <f>SUM(Sonoma!K16)</f>
        <v>0</v>
      </c>
      <c r="P21" s="111">
        <f>SUM(Stanislaus!Q2:Q12)</f>
        <v>198000</v>
      </c>
      <c r="Q21" s="112">
        <f>SUM(B21:P21)</f>
        <v>422143.14</v>
      </c>
      <c r="R21" s="113" t="s">
        <v>532</v>
      </c>
      <c r="T21" s="2"/>
      <c r="U21" s="2"/>
    </row>
    <row r="22" spans="1:21" ht="30" x14ac:dyDescent="0.25">
      <c r="A22" s="151" t="s">
        <v>559</v>
      </c>
      <c r="B22" s="56">
        <v>0</v>
      </c>
      <c r="C22" s="56">
        <v>0</v>
      </c>
      <c r="D22" s="57">
        <f>(100*365)</f>
        <v>36500</v>
      </c>
      <c r="E22" s="57">
        <v>0</v>
      </c>
      <c r="F22" s="57">
        <v>0</v>
      </c>
      <c r="G22" s="57">
        <v>0</v>
      </c>
      <c r="H22" s="57">
        <v>100000</v>
      </c>
      <c r="I22" s="57">
        <v>0</v>
      </c>
      <c r="J22" s="57">
        <v>0</v>
      </c>
      <c r="K22" s="57">
        <v>0</v>
      </c>
      <c r="L22" s="57">
        <v>0</v>
      </c>
      <c r="M22" s="57">
        <v>0</v>
      </c>
      <c r="N22" s="57">
        <f>70000</f>
        <v>70000</v>
      </c>
      <c r="O22" s="57">
        <v>0</v>
      </c>
      <c r="P22" s="57">
        <v>0</v>
      </c>
      <c r="Q22" s="115">
        <f>SUM(B22:P22)</f>
        <v>206500</v>
      </c>
      <c r="R22" s="116" t="s">
        <v>532</v>
      </c>
      <c r="U22" s="58"/>
    </row>
    <row r="23" spans="1:21" x14ac:dyDescent="0.25">
      <c r="A23" s="114" t="s">
        <v>537</v>
      </c>
      <c r="B23" s="56">
        <f>SUM(Alameda!J16)</f>
        <v>541680.86</v>
      </c>
      <c r="C23" s="56">
        <f>SUM('Contra Costa'!J17)</f>
        <v>182725</v>
      </c>
      <c r="D23" s="57">
        <f>SUM(Fresno!J14)</f>
        <v>479593</v>
      </c>
      <c r="E23" s="57">
        <f>SUM(Kings!J10)</f>
        <v>426000</v>
      </c>
      <c r="F23" s="57">
        <f>SUM(Marin!J12)</f>
        <v>66500</v>
      </c>
      <c r="G23" s="57">
        <f>SUM(Merced!J21)</f>
        <v>353224</v>
      </c>
      <c r="H23" s="57">
        <f>SUM(Monterey!J20)</f>
        <v>232600</v>
      </c>
      <c r="I23" s="57">
        <f>SUM(Napa!J14)</f>
        <v>180175</v>
      </c>
      <c r="J23" s="57">
        <f>SUM('San Benito'!P13)</f>
        <v>0</v>
      </c>
      <c r="K23" s="57">
        <f>SUM('San Francisco'!J10)</f>
        <v>6500</v>
      </c>
      <c r="L23" s="57">
        <f>SUM('San Joaquin'!J17)</f>
        <v>137219</v>
      </c>
      <c r="M23" s="57">
        <f>SUM('San Mateo'!I14)</f>
        <v>37454</v>
      </c>
      <c r="N23" s="57">
        <f>SUM('Santa Cruz'!I13)</f>
        <v>81874</v>
      </c>
      <c r="O23" s="57">
        <f>SUM(Sonoma!J15)</f>
        <v>47350</v>
      </c>
      <c r="P23" s="57">
        <f>SUM(Stanislaus!I19)</f>
        <v>981931</v>
      </c>
      <c r="Q23" s="115">
        <f>SUM(B23:P23)</f>
        <v>3754825.86</v>
      </c>
      <c r="R23" s="116" t="s">
        <v>532</v>
      </c>
      <c r="U23" s="58"/>
    </row>
    <row r="24" spans="1:21" ht="15.75" thickBot="1" x14ac:dyDescent="0.3">
      <c r="A24" s="117" t="s">
        <v>560</v>
      </c>
      <c r="B24" s="119">
        <f>SUM(Alameda!L12)</f>
        <v>738244</v>
      </c>
      <c r="C24" s="119">
        <f>SUM('Contra Costa'!I17)</f>
        <v>182725</v>
      </c>
      <c r="D24" s="118">
        <f>SUM(Fresno!L8)</f>
        <v>479593</v>
      </c>
      <c r="E24" s="118">
        <f>SUM(Kings!L4)</f>
        <v>426000</v>
      </c>
      <c r="F24" s="118">
        <f>SUM(Marin!I12)</f>
        <v>66500</v>
      </c>
      <c r="G24" s="118">
        <f>SUM(Merced!L15)</f>
        <v>354224</v>
      </c>
      <c r="H24" s="118">
        <f>SUM(Monterey!L14)</f>
        <v>257600</v>
      </c>
      <c r="I24" s="118">
        <f>SUM(Napa!I14)</f>
        <v>180175</v>
      </c>
      <c r="J24" s="118">
        <f>SUM('San Benito'!R10)</f>
        <v>0</v>
      </c>
      <c r="K24" s="118">
        <f>SUM('San Francisco'!I10)</f>
        <v>6500</v>
      </c>
      <c r="L24" s="118">
        <f>SUM('San Joaquin'!I17)</f>
        <v>137219</v>
      </c>
      <c r="M24" s="118">
        <f>SUM('San Mateo'!L8)</f>
        <v>39034</v>
      </c>
      <c r="N24" s="118">
        <f>SUM('Santa Cruz'!L7)</f>
        <v>81874</v>
      </c>
      <c r="O24" s="118">
        <f>SUM(Sonoma!I15)</f>
        <v>47350</v>
      </c>
      <c r="P24" s="118">
        <f>SUM(Stanislaus!L13)</f>
        <v>1179931</v>
      </c>
      <c r="Q24" s="120">
        <f>SUM(B24:P24)</f>
        <v>4176969</v>
      </c>
      <c r="R24" s="121" t="s">
        <v>532</v>
      </c>
      <c r="S24" s="58"/>
      <c r="T24" s="58"/>
      <c r="U24" s="58"/>
    </row>
    <row r="25" spans="1:21" ht="15.75" thickBot="1" x14ac:dyDescent="0.3">
      <c r="A25" s="93" t="s">
        <v>518</v>
      </c>
      <c r="B25" s="165"/>
      <c r="C25" s="165"/>
      <c r="D25" s="165"/>
      <c r="E25" s="165"/>
      <c r="F25" s="165"/>
      <c r="G25" s="165"/>
      <c r="H25" s="165"/>
      <c r="I25" s="165"/>
      <c r="J25" s="165"/>
      <c r="K25" s="165"/>
      <c r="L25" s="165"/>
      <c r="M25" s="165"/>
      <c r="N25" s="165"/>
      <c r="O25" s="165"/>
      <c r="P25" s="165"/>
      <c r="Q25" s="166" t="s">
        <v>392</v>
      </c>
      <c r="R25" s="166"/>
      <c r="U25" s="58"/>
    </row>
    <row r="26" spans="1:21" x14ac:dyDescent="0.25">
      <c r="A26" s="99" t="s">
        <v>536</v>
      </c>
      <c r="B26" s="95">
        <v>4</v>
      </c>
      <c r="C26" s="95">
        <v>0</v>
      </c>
      <c r="D26" s="96">
        <v>0</v>
      </c>
      <c r="E26" s="96">
        <v>0</v>
      </c>
      <c r="F26" s="96">
        <v>0</v>
      </c>
      <c r="G26" s="96">
        <v>1</v>
      </c>
      <c r="H26" s="96">
        <v>1</v>
      </c>
      <c r="I26" s="133">
        <v>0</v>
      </c>
      <c r="J26" s="94">
        <v>0</v>
      </c>
      <c r="K26" s="133">
        <v>0</v>
      </c>
      <c r="L26" s="133">
        <v>0</v>
      </c>
      <c r="M26" s="96">
        <v>1</v>
      </c>
      <c r="N26" s="96">
        <v>0</v>
      </c>
      <c r="O26" s="136">
        <v>0</v>
      </c>
      <c r="P26" s="97">
        <v>4</v>
      </c>
      <c r="Q26" s="100">
        <f>SUM(B26:P26)</f>
        <v>11</v>
      </c>
      <c r="R26" s="101" t="s">
        <v>510</v>
      </c>
      <c r="T26" s="146" t="s">
        <v>772</v>
      </c>
      <c r="U26" s="58"/>
    </row>
    <row r="27" spans="1:21" ht="30" x14ac:dyDescent="0.25">
      <c r="A27" s="40" t="s">
        <v>49</v>
      </c>
      <c r="B27" s="12">
        <v>1</v>
      </c>
      <c r="C27" s="12">
        <v>1</v>
      </c>
      <c r="D27" s="11">
        <v>0</v>
      </c>
      <c r="E27" s="11">
        <v>0</v>
      </c>
      <c r="F27" s="11">
        <v>1</v>
      </c>
      <c r="G27" s="11">
        <v>1</v>
      </c>
      <c r="H27" s="11">
        <v>4</v>
      </c>
      <c r="I27" s="35">
        <v>1</v>
      </c>
      <c r="J27" s="98">
        <v>1</v>
      </c>
      <c r="K27" s="35">
        <v>0</v>
      </c>
      <c r="L27" s="35">
        <v>1</v>
      </c>
      <c r="M27" s="11">
        <v>0</v>
      </c>
      <c r="N27" s="11">
        <v>0</v>
      </c>
      <c r="O27" s="29">
        <v>0</v>
      </c>
      <c r="P27" s="32">
        <v>1</v>
      </c>
      <c r="Q27" s="51">
        <f>SUM(B27:P27)</f>
        <v>12</v>
      </c>
      <c r="R27" s="102" t="s">
        <v>510</v>
      </c>
      <c r="T27" s="152" t="s">
        <v>773</v>
      </c>
    </row>
    <row r="28" spans="1:21" ht="30" x14ac:dyDescent="0.25">
      <c r="A28" s="40" t="s">
        <v>463</v>
      </c>
      <c r="B28" s="12">
        <v>0</v>
      </c>
      <c r="C28" s="12">
        <v>0</v>
      </c>
      <c r="D28" s="11">
        <v>0</v>
      </c>
      <c r="E28" s="11">
        <v>0</v>
      </c>
      <c r="F28" s="11">
        <v>0</v>
      </c>
      <c r="G28" s="11">
        <v>0</v>
      </c>
      <c r="H28" s="11">
        <v>1</v>
      </c>
      <c r="I28" s="35">
        <v>0</v>
      </c>
      <c r="J28" s="98">
        <v>2</v>
      </c>
      <c r="K28" s="35">
        <v>0</v>
      </c>
      <c r="L28" s="35">
        <v>0</v>
      </c>
      <c r="M28" s="11">
        <v>1</v>
      </c>
      <c r="N28" s="11">
        <v>2</v>
      </c>
      <c r="O28" s="29">
        <v>0</v>
      </c>
      <c r="P28" s="32">
        <v>2</v>
      </c>
      <c r="Q28" s="51">
        <f>SUM(B28:P28)</f>
        <v>8</v>
      </c>
      <c r="R28" s="102" t="s">
        <v>510</v>
      </c>
      <c r="T28" s="153"/>
    </row>
    <row r="29" spans="1:21" x14ac:dyDescent="0.25">
      <c r="A29" s="40" t="s">
        <v>76</v>
      </c>
      <c r="B29" s="12">
        <v>1</v>
      </c>
      <c r="C29" s="12">
        <v>0</v>
      </c>
      <c r="D29" s="11">
        <v>1</v>
      </c>
      <c r="E29" s="11">
        <v>0</v>
      </c>
      <c r="F29" s="11">
        <v>0</v>
      </c>
      <c r="G29" s="11">
        <v>0</v>
      </c>
      <c r="H29" s="11">
        <v>2</v>
      </c>
      <c r="I29" s="35">
        <v>0</v>
      </c>
      <c r="J29" s="98">
        <v>0</v>
      </c>
      <c r="K29" s="35">
        <v>0</v>
      </c>
      <c r="L29" s="35">
        <v>0</v>
      </c>
      <c r="M29" s="11">
        <v>2</v>
      </c>
      <c r="N29" s="11">
        <v>0</v>
      </c>
      <c r="O29" s="29">
        <v>0</v>
      </c>
      <c r="P29" s="32">
        <v>2</v>
      </c>
      <c r="Q29" s="51">
        <f>SUM(B29:P29)</f>
        <v>8</v>
      </c>
      <c r="R29" s="102" t="s">
        <v>510</v>
      </c>
      <c r="T29" s="153"/>
    </row>
    <row r="30" spans="1:21" s="1" customFormat="1" x14ac:dyDescent="0.25">
      <c r="A30" s="104" t="s">
        <v>517</v>
      </c>
      <c r="B30" s="106">
        <v>3</v>
      </c>
      <c r="C30" s="106">
        <v>8</v>
      </c>
      <c r="D30" s="107">
        <v>5</v>
      </c>
      <c r="E30" s="107">
        <f>COUNTIF(Kings!Q2:Q3, 0)</f>
        <v>2</v>
      </c>
      <c r="F30" s="107">
        <v>3</v>
      </c>
      <c r="G30" s="107">
        <v>11</v>
      </c>
      <c r="H30" s="107">
        <v>4</v>
      </c>
      <c r="I30" s="134">
        <v>5</v>
      </c>
      <c r="J30" s="105">
        <v>3</v>
      </c>
      <c r="K30" s="134">
        <v>2</v>
      </c>
      <c r="L30" s="134">
        <v>8</v>
      </c>
      <c r="M30" s="107">
        <v>2</v>
      </c>
      <c r="N30" s="107">
        <f>COUNTIF('Santa Cruz'!Q2:Q6, 0)</f>
        <v>3</v>
      </c>
      <c r="O30" s="137">
        <v>7</v>
      </c>
      <c r="P30" s="32">
        <v>2</v>
      </c>
      <c r="Q30" s="51">
        <f>SUM(B30:P30)</f>
        <v>68</v>
      </c>
      <c r="R30" s="102" t="s">
        <v>510</v>
      </c>
      <c r="T30" s="154" t="s">
        <v>774</v>
      </c>
    </row>
    <row r="31" spans="1:21" s="145" customFormat="1" ht="15.75" thickBot="1" x14ac:dyDescent="0.3">
      <c r="A31" s="144" t="s">
        <v>556</v>
      </c>
      <c r="B31" s="148">
        <f t="shared" ref="B31:O31" si="2">SUM(B26:B30)</f>
        <v>9</v>
      </c>
      <c r="C31" s="149">
        <f t="shared" si="2"/>
        <v>9</v>
      </c>
      <c r="D31" s="149">
        <f t="shared" si="2"/>
        <v>6</v>
      </c>
      <c r="E31" s="149">
        <f t="shared" si="2"/>
        <v>2</v>
      </c>
      <c r="F31" s="149">
        <f t="shared" si="2"/>
        <v>4</v>
      </c>
      <c r="G31" s="149">
        <f t="shared" si="2"/>
        <v>13</v>
      </c>
      <c r="H31" s="149">
        <f t="shared" si="2"/>
        <v>12</v>
      </c>
      <c r="I31" s="149">
        <f t="shared" si="2"/>
        <v>6</v>
      </c>
      <c r="J31" s="149">
        <f t="shared" ref="J31:L31" si="3">SUM(J26:J30)</f>
        <v>6</v>
      </c>
      <c r="K31" s="149">
        <f t="shared" si="3"/>
        <v>2</v>
      </c>
      <c r="L31" s="149">
        <f t="shared" si="3"/>
        <v>9</v>
      </c>
      <c r="M31" s="149">
        <f t="shared" si="2"/>
        <v>6</v>
      </c>
      <c r="N31" s="149">
        <f t="shared" si="2"/>
        <v>5</v>
      </c>
      <c r="O31" s="149">
        <f t="shared" si="2"/>
        <v>7</v>
      </c>
      <c r="P31" s="150">
        <f>SUM(P26:P30)</f>
        <v>11</v>
      </c>
      <c r="Q31" s="103">
        <f>SUM(Q26:Q30)</f>
        <v>107</v>
      </c>
      <c r="R31" s="103" t="s">
        <v>510</v>
      </c>
      <c r="T31" s="155"/>
    </row>
    <row r="32" spans="1:21" ht="15.75" thickBot="1" x14ac:dyDescent="0.3">
      <c r="A32" s="180"/>
      <c r="B32" s="181"/>
      <c r="C32" s="181"/>
      <c r="D32" s="181"/>
      <c r="E32" s="181"/>
      <c r="F32" s="181"/>
      <c r="G32" s="181"/>
      <c r="H32" s="181"/>
      <c r="I32" s="181"/>
      <c r="J32" s="181"/>
      <c r="K32" s="181"/>
      <c r="L32" s="181"/>
      <c r="M32" s="181"/>
      <c r="N32" s="181"/>
      <c r="O32" s="181"/>
      <c r="P32" s="181"/>
      <c r="T32" s="155"/>
    </row>
    <row r="33" spans="1:20" ht="21.75" thickBot="1" x14ac:dyDescent="0.4">
      <c r="A33" s="182" t="s">
        <v>393</v>
      </c>
      <c r="B33" s="174"/>
      <c r="C33" s="174"/>
      <c r="D33" s="174"/>
      <c r="E33" s="174"/>
      <c r="F33" s="174"/>
      <c r="G33" s="174"/>
      <c r="H33" s="174"/>
      <c r="I33" s="174"/>
      <c r="J33" s="174"/>
      <c r="K33" s="174"/>
      <c r="L33" s="174"/>
      <c r="M33" s="174"/>
      <c r="N33" s="174"/>
      <c r="O33" s="175"/>
      <c r="P33" s="175"/>
      <c r="Q33" s="160" t="s">
        <v>392</v>
      </c>
      <c r="T33" s="156"/>
    </row>
    <row r="34" spans="1:20" ht="15.75" thickBot="1" x14ac:dyDescent="0.3">
      <c r="A34" s="167" t="s">
        <v>394</v>
      </c>
      <c r="B34" s="169"/>
      <c r="C34" s="169"/>
      <c r="D34" s="169"/>
      <c r="E34" s="169"/>
      <c r="F34" s="169"/>
      <c r="G34" s="169"/>
      <c r="H34" s="169"/>
      <c r="I34" s="169"/>
      <c r="J34" s="169"/>
      <c r="K34" s="169"/>
      <c r="L34" s="169"/>
      <c r="M34" s="169"/>
      <c r="N34" s="169"/>
      <c r="O34" s="170"/>
      <c r="P34" s="170"/>
      <c r="Q34" s="161"/>
      <c r="T34" s="154" t="s">
        <v>775</v>
      </c>
    </row>
    <row r="35" spans="1:20" ht="45.75" thickBot="1" x14ac:dyDescent="0.3">
      <c r="A35" s="168"/>
      <c r="B35" s="141" t="s">
        <v>232</v>
      </c>
      <c r="C35" s="10" t="s">
        <v>563</v>
      </c>
      <c r="D35" s="10" t="s">
        <v>187</v>
      </c>
      <c r="E35" s="10" t="s">
        <v>231</v>
      </c>
      <c r="F35" s="10" t="s">
        <v>615</v>
      </c>
      <c r="G35" s="10" t="s">
        <v>96</v>
      </c>
      <c r="H35" s="10" t="s">
        <v>45</v>
      </c>
      <c r="I35" s="10" t="s">
        <v>639</v>
      </c>
      <c r="J35" s="10" t="s">
        <v>16</v>
      </c>
      <c r="K35" s="10" t="s">
        <v>670</v>
      </c>
      <c r="L35" s="10" t="s">
        <v>679</v>
      </c>
      <c r="M35" s="10" t="s">
        <v>162</v>
      </c>
      <c r="N35" s="10" t="s">
        <v>110</v>
      </c>
      <c r="O35" s="28" t="s">
        <v>726</v>
      </c>
      <c r="P35" s="31" t="s">
        <v>129</v>
      </c>
      <c r="Q35" s="161"/>
      <c r="T35" s="155"/>
    </row>
    <row r="36" spans="1:20" x14ac:dyDescent="0.25">
      <c r="A36" s="46" t="s">
        <v>41</v>
      </c>
      <c r="B36" s="14">
        <v>1</v>
      </c>
      <c r="C36" s="14">
        <v>1</v>
      </c>
      <c r="D36" s="13">
        <v>2</v>
      </c>
      <c r="E36" s="13">
        <v>1</v>
      </c>
      <c r="F36" s="13">
        <v>1</v>
      </c>
      <c r="G36" s="13">
        <v>8</v>
      </c>
      <c r="H36" s="13">
        <v>7</v>
      </c>
      <c r="I36" s="45">
        <v>1</v>
      </c>
      <c r="J36" s="45">
        <v>5</v>
      </c>
      <c r="K36" s="45">
        <v>0</v>
      </c>
      <c r="L36" s="45">
        <v>5</v>
      </c>
      <c r="M36" s="13">
        <v>1</v>
      </c>
      <c r="N36" s="13">
        <v>2</v>
      </c>
      <c r="O36" s="48">
        <v>4</v>
      </c>
      <c r="P36" s="48">
        <v>4</v>
      </c>
      <c r="Q36" s="53">
        <f t="shared" ref="Q36:Q42" si="4">SUM(B36:P36)</f>
        <v>43</v>
      </c>
      <c r="T36" s="156"/>
    </row>
    <row r="37" spans="1:20" x14ac:dyDescent="0.25">
      <c r="A37" s="39" t="s">
        <v>400</v>
      </c>
      <c r="B37" s="12">
        <v>1</v>
      </c>
      <c r="C37" s="12">
        <v>1</v>
      </c>
      <c r="D37" s="11">
        <v>1</v>
      </c>
      <c r="E37" s="11">
        <v>1</v>
      </c>
      <c r="F37" s="11">
        <v>1</v>
      </c>
      <c r="G37" s="11">
        <v>1</v>
      </c>
      <c r="H37" s="11">
        <v>1</v>
      </c>
      <c r="I37" s="35">
        <v>0</v>
      </c>
      <c r="J37" s="35">
        <v>0</v>
      </c>
      <c r="K37" s="35">
        <v>0</v>
      </c>
      <c r="L37" s="35">
        <v>1</v>
      </c>
      <c r="M37" s="11">
        <v>0</v>
      </c>
      <c r="N37" s="11">
        <v>0</v>
      </c>
      <c r="O37" s="29">
        <v>1</v>
      </c>
      <c r="P37" s="29">
        <v>2</v>
      </c>
      <c r="Q37" s="53">
        <f t="shared" si="4"/>
        <v>11</v>
      </c>
      <c r="T37" s="156"/>
    </row>
    <row r="38" spans="1:20" x14ac:dyDescent="0.25">
      <c r="A38" s="39" t="s">
        <v>395</v>
      </c>
      <c r="B38" s="12">
        <v>2</v>
      </c>
      <c r="C38" s="12">
        <v>1</v>
      </c>
      <c r="D38" s="11">
        <v>3</v>
      </c>
      <c r="E38" s="11">
        <v>1</v>
      </c>
      <c r="F38" s="11">
        <v>1</v>
      </c>
      <c r="G38" s="11">
        <v>0</v>
      </c>
      <c r="H38" s="11">
        <v>5</v>
      </c>
      <c r="I38" s="35">
        <v>2</v>
      </c>
      <c r="J38" s="35">
        <v>0</v>
      </c>
      <c r="K38" s="35">
        <v>0</v>
      </c>
      <c r="L38" s="35">
        <v>3</v>
      </c>
      <c r="M38" s="11">
        <v>2</v>
      </c>
      <c r="N38" s="11">
        <v>0</v>
      </c>
      <c r="O38" s="29">
        <v>0</v>
      </c>
      <c r="P38" s="29">
        <v>4</v>
      </c>
      <c r="Q38" s="53">
        <f t="shared" si="4"/>
        <v>24</v>
      </c>
      <c r="T38" s="156"/>
    </row>
    <row r="39" spans="1:20" x14ac:dyDescent="0.25">
      <c r="A39" s="39" t="s">
        <v>138</v>
      </c>
      <c r="B39" s="12">
        <v>6</v>
      </c>
      <c r="C39" s="12">
        <v>9</v>
      </c>
      <c r="D39" s="11">
        <v>4</v>
      </c>
      <c r="E39" s="11">
        <v>2</v>
      </c>
      <c r="F39" s="11">
        <v>3</v>
      </c>
      <c r="G39" s="11">
        <v>5</v>
      </c>
      <c r="H39" s="11">
        <v>7</v>
      </c>
      <c r="I39" s="35">
        <v>5</v>
      </c>
      <c r="J39" s="35">
        <v>3</v>
      </c>
      <c r="K39" s="35">
        <v>2</v>
      </c>
      <c r="L39" s="35">
        <v>7</v>
      </c>
      <c r="M39" s="11">
        <v>3</v>
      </c>
      <c r="N39" s="11">
        <v>4</v>
      </c>
      <c r="O39" s="29">
        <v>2</v>
      </c>
      <c r="P39" s="29">
        <v>10</v>
      </c>
      <c r="Q39" s="53">
        <f t="shared" si="4"/>
        <v>72</v>
      </c>
      <c r="T39" s="154" t="s">
        <v>776</v>
      </c>
    </row>
    <row r="40" spans="1:20" x14ac:dyDescent="0.25">
      <c r="A40" s="39" t="s">
        <v>289</v>
      </c>
      <c r="B40" s="12">
        <v>0</v>
      </c>
      <c r="C40" s="12">
        <v>0</v>
      </c>
      <c r="D40" s="11">
        <v>1</v>
      </c>
      <c r="E40" s="11">
        <v>1</v>
      </c>
      <c r="F40" s="11">
        <v>2</v>
      </c>
      <c r="G40" s="11">
        <v>5</v>
      </c>
      <c r="H40" s="11">
        <v>2</v>
      </c>
      <c r="I40" s="35">
        <v>1</v>
      </c>
      <c r="J40" s="35">
        <v>4</v>
      </c>
      <c r="K40" s="35">
        <v>0</v>
      </c>
      <c r="L40" s="35">
        <v>3</v>
      </c>
      <c r="M40" s="11">
        <v>0</v>
      </c>
      <c r="N40" s="11">
        <v>0</v>
      </c>
      <c r="O40" s="29">
        <v>3</v>
      </c>
      <c r="P40" s="29">
        <v>3</v>
      </c>
      <c r="Q40" s="53">
        <f t="shared" si="4"/>
        <v>25</v>
      </c>
      <c r="T40" s="155"/>
    </row>
    <row r="41" spans="1:20" x14ac:dyDescent="0.25">
      <c r="A41" s="39" t="s">
        <v>396</v>
      </c>
      <c r="B41" s="12">
        <v>2</v>
      </c>
      <c r="C41" s="12">
        <v>0</v>
      </c>
      <c r="D41" s="11">
        <v>1</v>
      </c>
      <c r="E41" s="11">
        <v>0</v>
      </c>
      <c r="F41" s="11">
        <v>0</v>
      </c>
      <c r="G41" s="11">
        <v>0</v>
      </c>
      <c r="H41" s="11">
        <v>1</v>
      </c>
      <c r="I41" s="35">
        <v>0</v>
      </c>
      <c r="J41" s="35">
        <v>0</v>
      </c>
      <c r="K41" s="35">
        <v>0</v>
      </c>
      <c r="L41" s="35">
        <v>1</v>
      </c>
      <c r="M41" s="11">
        <v>1</v>
      </c>
      <c r="N41" s="11">
        <v>0</v>
      </c>
      <c r="O41" s="29">
        <v>0</v>
      </c>
      <c r="P41" s="29">
        <v>1</v>
      </c>
      <c r="Q41" s="53">
        <f t="shared" si="4"/>
        <v>7</v>
      </c>
      <c r="T41" s="157"/>
    </row>
    <row r="42" spans="1:20" ht="15.75" thickBot="1" x14ac:dyDescent="0.3">
      <c r="A42" s="47" t="s">
        <v>512</v>
      </c>
      <c r="B42" s="43">
        <v>6</v>
      </c>
      <c r="C42" s="43">
        <v>7</v>
      </c>
      <c r="D42" s="44">
        <v>0</v>
      </c>
      <c r="E42" s="44">
        <v>1</v>
      </c>
      <c r="F42" s="44">
        <v>0</v>
      </c>
      <c r="G42" s="44">
        <v>1</v>
      </c>
      <c r="H42" s="44">
        <v>2</v>
      </c>
      <c r="I42" s="42">
        <v>1</v>
      </c>
      <c r="J42" s="42">
        <v>1</v>
      </c>
      <c r="K42" s="42">
        <v>1</v>
      </c>
      <c r="L42" s="42">
        <v>4</v>
      </c>
      <c r="M42" s="44">
        <v>3</v>
      </c>
      <c r="N42" s="44">
        <v>3</v>
      </c>
      <c r="O42" s="49">
        <v>2</v>
      </c>
      <c r="P42" s="49">
        <v>3</v>
      </c>
      <c r="Q42" s="54">
        <f t="shared" si="4"/>
        <v>35</v>
      </c>
      <c r="T42" s="154" t="s">
        <v>777</v>
      </c>
    </row>
    <row r="43" spans="1:20" x14ac:dyDescent="0.25">
      <c r="T43" s="158"/>
    </row>
    <row r="44" spans="1:20" x14ac:dyDescent="0.25">
      <c r="T44" s="158"/>
    </row>
    <row r="45" spans="1:20" x14ac:dyDescent="0.25">
      <c r="T45" s="157"/>
    </row>
    <row r="46" spans="1:20" x14ac:dyDescent="0.25">
      <c r="T46" s="157"/>
    </row>
  </sheetData>
  <mergeCells count="21">
    <mergeCell ref="A34:A35"/>
    <mergeCell ref="B34:P34"/>
    <mergeCell ref="A1:P1"/>
    <mergeCell ref="A2:P2"/>
    <mergeCell ref="A3:A4"/>
    <mergeCell ref="B3:P3"/>
    <mergeCell ref="A32:P32"/>
    <mergeCell ref="A33:P33"/>
    <mergeCell ref="A18:P18"/>
    <mergeCell ref="A19:A20"/>
    <mergeCell ref="B19:P19"/>
    <mergeCell ref="Q18:R20"/>
    <mergeCell ref="Q33:Q35"/>
    <mergeCell ref="Q2:Q4"/>
    <mergeCell ref="B25:P25"/>
    <mergeCell ref="Q25:R25"/>
    <mergeCell ref="T27:T29"/>
    <mergeCell ref="T30:T33"/>
    <mergeCell ref="T34:T38"/>
    <mergeCell ref="T39:T41"/>
    <mergeCell ref="T42:T46"/>
  </mergeCells>
  <pageMargins left="0.7" right="0.7" top="0.75" bottom="0.75" header="0.3" footer="0.3"/>
  <pageSetup orientation="portrait" horizontalDpi="1200" verticalDpi="120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
  <sheetViews>
    <sheetView workbookViewId="0">
      <pane ySplit="1" topLeftCell="A2" activePane="bottomLeft" state="frozen"/>
      <selection pane="bottomLeft" activeCell="B3" sqref="B3"/>
    </sheetView>
  </sheetViews>
  <sheetFormatPr defaultRowHeight="15" x14ac:dyDescent="0.25"/>
  <cols>
    <col min="1" max="1" width="13.5703125" customWidth="1"/>
    <col min="2" max="2" width="15.28515625" customWidth="1"/>
    <col min="3" max="3" width="14" customWidth="1"/>
    <col min="5" max="5" width="13.28515625" style="6" customWidth="1"/>
    <col min="7" max="7" width="18.28515625" customWidth="1"/>
    <col min="8" max="8" width="13" customWidth="1"/>
    <col min="9" max="9" width="11.28515625" customWidth="1"/>
    <col min="10" max="10" width="12.140625" customWidth="1"/>
    <col min="11" max="11" width="10.28515625" customWidth="1"/>
    <col min="13" max="13" width="11" customWidth="1"/>
    <col min="14" max="14" width="12.85546875" style="58" customWidth="1"/>
    <col min="15" max="15" width="12.28515625" customWidth="1"/>
    <col min="17" max="17" width="13.85546875" customWidth="1"/>
    <col min="18" max="18" width="11.28515625" customWidth="1"/>
  </cols>
  <sheetData>
    <row r="1" spans="1:19" s="62" customFormat="1" ht="84.75" customHeight="1" x14ac:dyDescent="0.25">
      <c r="A1" s="78" t="s">
        <v>0</v>
      </c>
      <c r="B1" s="78" t="s">
        <v>1</v>
      </c>
      <c r="C1" s="78" t="s">
        <v>2</v>
      </c>
      <c r="D1" s="78" t="s">
        <v>3</v>
      </c>
      <c r="E1" s="78" t="s">
        <v>4</v>
      </c>
      <c r="F1" s="78" t="s">
        <v>5</v>
      </c>
      <c r="G1" s="78" t="s">
        <v>6</v>
      </c>
      <c r="H1" s="78" t="s">
        <v>7</v>
      </c>
      <c r="I1" s="78" t="s">
        <v>8</v>
      </c>
      <c r="J1" s="78" t="s">
        <v>519</v>
      </c>
      <c r="K1" s="78" t="s">
        <v>9</v>
      </c>
      <c r="L1" s="78" t="s">
        <v>10</v>
      </c>
      <c r="M1" s="78" t="s">
        <v>9</v>
      </c>
      <c r="N1" s="142" t="s">
        <v>520</v>
      </c>
      <c r="O1" s="78" t="s">
        <v>9</v>
      </c>
      <c r="P1" s="70" t="s">
        <v>552</v>
      </c>
      <c r="Q1" s="70" t="s">
        <v>555</v>
      </c>
      <c r="R1" s="78" t="s">
        <v>9</v>
      </c>
      <c r="S1" s="78" t="s">
        <v>12</v>
      </c>
    </row>
    <row r="2" spans="1:19" s="1" customFormat="1" ht="60.75" customHeight="1" x14ac:dyDescent="0.25">
      <c r="A2" s="4" t="s">
        <v>637</v>
      </c>
      <c r="B2" s="9" t="s">
        <v>638</v>
      </c>
      <c r="C2" s="9" t="s">
        <v>64</v>
      </c>
      <c r="D2" s="122" t="s">
        <v>639</v>
      </c>
      <c r="E2" s="9" t="s">
        <v>640</v>
      </c>
      <c r="F2" s="122" t="s">
        <v>639</v>
      </c>
      <c r="G2" s="17" t="s">
        <v>641</v>
      </c>
      <c r="H2" s="17" t="s">
        <v>642</v>
      </c>
      <c r="I2" s="122" t="s">
        <v>19</v>
      </c>
      <c r="J2" s="124">
        <v>90000</v>
      </c>
      <c r="K2" s="127" t="s">
        <v>636</v>
      </c>
      <c r="L2" s="124">
        <v>144000</v>
      </c>
      <c r="M2" s="125" t="s">
        <v>20</v>
      </c>
      <c r="N2" s="124">
        <v>144000</v>
      </c>
      <c r="O2" s="125" t="s">
        <v>20</v>
      </c>
      <c r="P2" s="125" t="s">
        <v>764</v>
      </c>
      <c r="Q2" s="139" t="s">
        <v>49</v>
      </c>
      <c r="R2" s="125" t="s">
        <v>20</v>
      </c>
      <c r="S2" s="9"/>
    </row>
    <row r="3" spans="1:19" s="1" customFormat="1" ht="60.75" customHeight="1" x14ac:dyDescent="0.25">
      <c r="A3" s="4" t="s">
        <v>643</v>
      </c>
      <c r="B3" s="9" t="s">
        <v>644</v>
      </c>
      <c r="C3" s="9" t="s">
        <v>28</v>
      </c>
      <c r="D3" s="122" t="s">
        <v>639</v>
      </c>
      <c r="E3" s="9" t="s">
        <v>645</v>
      </c>
      <c r="F3" s="122" t="s">
        <v>639</v>
      </c>
      <c r="G3" s="17" t="s">
        <v>646</v>
      </c>
      <c r="H3" s="17" t="s">
        <v>138</v>
      </c>
      <c r="I3" s="122" t="s">
        <v>19</v>
      </c>
      <c r="J3" s="125">
        <v>4</v>
      </c>
      <c r="K3" s="125" t="s">
        <v>30</v>
      </c>
      <c r="L3" s="124">
        <v>1800</v>
      </c>
      <c r="M3" s="125" t="s">
        <v>20</v>
      </c>
      <c r="N3" s="124">
        <v>1800</v>
      </c>
      <c r="O3" s="125" t="s">
        <v>20</v>
      </c>
      <c r="P3" s="125" t="s">
        <v>764</v>
      </c>
      <c r="Q3" s="124">
        <v>0</v>
      </c>
      <c r="R3" s="125" t="s">
        <v>20</v>
      </c>
      <c r="S3" s="9" t="s">
        <v>647</v>
      </c>
    </row>
    <row r="4" spans="1:19" s="1" customFormat="1" ht="51" customHeight="1" x14ac:dyDescent="0.25">
      <c r="A4" s="4" t="s">
        <v>648</v>
      </c>
      <c r="B4" s="9" t="s">
        <v>649</v>
      </c>
      <c r="C4" s="9" t="s">
        <v>28</v>
      </c>
      <c r="D4" s="122" t="s">
        <v>639</v>
      </c>
      <c r="E4" s="9" t="s">
        <v>650</v>
      </c>
      <c r="F4" s="122" t="s">
        <v>651</v>
      </c>
      <c r="G4" s="17" t="s">
        <v>652</v>
      </c>
      <c r="H4" s="17" t="s">
        <v>653</v>
      </c>
      <c r="I4" s="122" t="s">
        <v>19</v>
      </c>
      <c r="J4" s="125">
        <v>100</v>
      </c>
      <c r="K4" s="125" t="s">
        <v>568</v>
      </c>
      <c r="L4" s="124">
        <v>250</v>
      </c>
      <c r="M4" s="125" t="s">
        <v>763</v>
      </c>
      <c r="N4" s="124">
        <v>250</v>
      </c>
      <c r="O4" s="125" t="s">
        <v>20</v>
      </c>
      <c r="P4" s="125" t="s">
        <v>764</v>
      </c>
      <c r="Q4" s="139">
        <v>0</v>
      </c>
      <c r="R4" s="125" t="s">
        <v>20</v>
      </c>
      <c r="S4" s="9" t="s">
        <v>647</v>
      </c>
    </row>
    <row r="5" spans="1:19" s="1" customFormat="1" ht="59.25" customHeight="1" x14ac:dyDescent="0.25">
      <c r="A5" s="4" t="s">
        <v>654</v>
      </c>
      <c r="B5" s="9" t="s">
        <v>655</v>
      </c>
      <c r="C5" s="9" t="s">
        <v>28</v>
      </c>
      <c r="D5" s="122" t="s">
        <v>639</v>
      </c>
      <c r="E5" s="9" t="s">
        <v>656</v>
      </c>
      <c r="F5" s="122" t="s">
        <v>657</v>
      </c>
      <c r="G5" s="17" t="s">
        <v>658</v>
      </c>
      <c r="H5" s="9" t="s">
        <v>93</v>
      </c>
      <c r="I5" s="122" t="s">
        <v>19</v>
      </c>
      <c r="J5" s="125">
        <v>350</v>
      </c>
      <c r="K5" s="125" t="s">
        <v>568</v>
      </c>
      <c r="L5" s="124">
        <v>125</v>
      </c>
      <c r="M5" s="125" t="s">
        <v>385</v>
      </c>
      <c r="N5" s="124">
        <v>125</v>
      </c>
      <c r="O5" s="125" t="s">
        <v>20</v>
      </c>
      <c r="P5" s="125" t="s">
        <v>764</v>
      </c>
      <c r="Q5" s="139">
        <v>0</v>
      </c>
      <c r="R5" s="125" t="s">
        <v>20</v>
      </c>
      <c r="S5" s="9" t="s">
        <v>582</v>
      </c>
    </row>
    <row r="6" spans="1:19" s="1" customFormat="1" ht="60" customHeight="1" x14ac:dyDescent="0.25">
      <c r="A6" s="4" t="s">
        <v>659</v>
      </c>
      <c r="B6" s="9" t="s">
        <v>660</v>
      </c>
      <c r="C6" s="9" t="s">
        <v>91</v>
      </c>
      <c r="D6" s="122" t="s">
        <v>639</v>
      </c>
      <c r="E6" s="9" t="s">
        <v>661</v>
      </c>
      <c r="F6" s="122" t="s">
        <v>651</v>
      </c>
      <c r="G6" s="17" t="s">
        <v>662</v>
      </c>
      <c r="H6" s="17" t="s">
        <v>663</v>
      </c>
      <c r="I6" s="122" t="s">
        <v>19</v>
      </c>
      <c r="J6" s="124">
        <v>34000</v>
      </c>
      <c r="K6" s="125" t="s">
        <v>20</v>
      </c>
      <c r="L6" s="124">
        <v>34000</v>
      </c>
      <c r="M6" s="125" t="s">
        <v>20</v>
      </c>
      <c r="N6" s="124">
        <v>34000</v>
      </c>
      <c r="O6" s="125" t="s">
        <v>20</v>
      </c>
      <c r="P6" s="125" t="s">
        <v>764</v>
      </c>
      <c r="Q6" s="124">
        <v>0</v>
      </c>
      <c r="R6" s="125" t="s">
        <v>20</v>
      </c>
      <c r="S6" s="9" t="s">
        <v>582</v>
      </c>
    </row>
    <row r="7" spans="1:19" s="1" customFormat="1" ht="48.75" customHeight="1" x14ac:dyDescent="0.25">
      <c r="A7" s="4" t="s">
        <v>664</v>
      </c>
      <c r="B7" s="9" t="s">
        <v>665</v>
      </c>
      <c r="C7" s="9" t="s">
        <v>28</v>
      </c>
      <c r="D7" s="122" t="s">
        <v>639</v>
      </c>
      <c r="E7" s="9" t="s">
        <v>666</v>
      </c>
      <c r="F7" s="122" t="s">
        <v>657</v>
      </c>
      <c r="G7" s="17" t="s">
        <v>667</v>
      </c>
      <c r="H7" s="125" t="s">
        <v>61</v>
      </c>
      <c r="I7" s="122" t="s">
        <v>19</v>
      </c>
      <c r="J7" s="125" t="s">
        <v>61</v>
      </c>
      <c r="K7" s="125" t="s">
        <v>61</v>
      </c>
      <c r="L7" s="125" t="s">
        <v>61</v>
      </c>
      <c r="M7" s="125" t="s">
        <v>61</v>
      </c>
      <c r="N7" s="124" t="s">
        <v>76</v>
      </c>
      <c r="O7" s="125" t="s">
        <v>20</v>
      </c>
      <c r="P7" s="125" t="s">
        <v>764</v>
      </c>
      <c r="Q7" s="139">
        <v>0</v>
      </c>
      <c r="R7" s="125" t="s">
        <v>20</v>
      </c>
      <c r="S7" s="9" t="s">
        <v>647</v>
      </c>
    </row>
    <row r="8" spans="1:19" x14ac:dyDescent="0.25">
      <c r="L8" s="6">
        <f>SUM(L2:L7)</f>
        <v>180175</v>
      </c>
      <c r="Q8" s="58">
        <f>SUM(Q2:Q7)</f>
        <v>0</v>
      </c>
    </row>
    <row r="9" spans="1:19" ht="30" x14ac:dyDescent="0.25">
      <c r="I9" s="83" t="s">
        <v>540</v>
      </c>
      <c r="J9" s="62" t="s">
        <v>541</v>
      </c>
    </row>
    <row r="10" spans="1:19" x14ac:dyDescent="0.25">
      <c r="H10" s="60" t="s">
        <v>80</v>
      </c>
      <c r="I10" s="58">
        <v>0</v>
      </c>
      <c r="J10" s="58">
        <v>0</v>
      </c>
    </row>
    <row r="11" spans="1:19" x14ac:dyDescent="0.25">
      <c r="H11" s="60" t="s">
        <v>138</v>
      </c>
      <c r="I11" s="58">
        <f>SUM(L3+L4+L5)</f>
        <v>2175</v>
      </c>
      <c r="J11" s="58">
        <f>SUM((L3+L4+L5)+(Q3+Q4+Q5))</f>
        <v>2175</v>
      </c>
      <c r="N11" s="58">
        <f>100*(250/2000)*260</f>
        <v>3250</v>
      </c>
    </row>
    <row r="12" spans="1:19" x14ac:dyDescent="0.25">
      <c r="H12" s="60" t="s">
        <v>538</v>
      </c>
      <c r="I12" s="58">
        <f>SUM(L2+L6)</f>
        <v>178000</v>
      </c>
      <c r="J12" s="58">
        <f>SUM((L2+L6)-(Q6))</f>
        <v>178000</v>
      </c>
    </row>
    <row r="13" spans="1:19" x14ac:dyDescent="0.25">
      <c r="H13" s="60" t="s">
        <v>539</v>
      </c>
      <c r="I13" s="58">
        <v>0</v>
      </c>
      <c r="J13" s="58">
        <v>0</v>
      </c>
    </row>
    <row r="14" spans="1:19" x14ac:dyDescent="0.25">
      <c r="H14" s="85" t="s">
        <v>556</v>
      </c>
      <c r="I14" s="84">
        <f>SUM(I10:I13)</f>
        <v>180175</v>
      </c>
      <c r="J14" s="82">
        <f>SUM(J10:J13)</f>
        <v>180175</v>
      </c>
    </row>
    <row r="15" spans="1:19" ht="30" x14ac:dyDescent="0.25">
      <c r="J15" s="89" t="s">
        <v>557</v>
      </c>
      <c r="K15" s="90">
        <f>SUM(I14-J14)</f>
        <v>0</v>
      </c>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4"/>
  <sheetViews>
    <sheetView zoomScale="90" zoomScaleNormal="90" workbookViewId="0">
      <pane xSplit="2" ySplit="1" topLeftCell="M5" activePane="bottomRight" state="frozen"/>
      <selection pane="topRight" activeCell="C1" sqref="C1"/>
      <selection pane="bottomLeft" activeCell="A2" sqref="A2"/>
      <selection pane="bottomRight" activeCell="C9" sqref="C9"/>
    </sheetView>
  </sheetViews>
  <sheetFormatPr defaultRowHeight="15" x14ac:dyDescent="0.25"/>
  <cols>
    <col min="1" max="1" width="13.5703125" customWidth="1"/>
    <col min="2" max="2" width="39.85546875" bestFit="1" customWidth="1"/>
    <col min="3" max="3" width="46.42578125" bestFit="1" customWidth="1"/>
    <col min="4" max="4" width="10.42578125" bestFit="1" customWidth="1"/>
    <col min="5" max="5" width="25.5703125" bestFit="1" customWidth="1"/>
    <col min="6" max="6" width="8.5703125" bestFit="1" customWidth="1"/>
    <col min="7" max="7" width="27.28515625" customWidth="1"/>
    <col min="8" max="8" width="32.28515625" bestFit="1" customWidth="1"/>
    <col min="9" max="9" width="17.7109375" bestFit="1" customWidth="1"/>
    <col min="10" max="10" width="19.28515625" style="6" customWidth="1"/>
    <col min="11" max="11" width="15.140625" bestFit="1" customWidth="1"/>
    <col min="12" max="12" width="17.85546875" customWidth="1"/>
    <col min="13" max="13" width="15.85546875" bestFit="1" customWidth="1"/>
    <col min="14" max="14" width="22" customWidth="1"/>
    <col min="15" max="15" width="9.85546875" bestFit="1" customWidth="1"/>
    <col min="16" max="16" width="10.7109375" style="72" customWidth="1"/>
    <col min="17" max="17" width="21.28515625" customWidth="1"/>
    <col min="18" max="18" width="9.85546875" bestFit="1" customWidth="1"/>
    <col min="20" max="20" width="80.7109375" customWidth="1"/>
  </cols>
  <sheetData>
    <row r="1" spans="1:20" s="2" customFormat="1" ht="45" x14ac:dyDescent="0.25">
      <c r="A1" s="77" t="s">
        <v>0</v>
      </c>
      <c r="B1" s="77" t="s">
        <v>1</v>
      </c>
      <c r="C1" s="77" t="s">
        <v>2</v>
      </c>
      <c r="D1" s="77" t="s">
        <v>3</v>
      </c>
      <c r="E1" s="77" t="s">
        <v>4</v>
      </c>
      <c r="F1" s="77" t="s">
        <v>5</v>
      </c>
      <c r="G1" s="77" t="s">
        <v>6</v>
      </c>
      <c r="H1" s="77" t="s">
        <v>7</v>
      </c>
      <c r="I1" s="77" t="s">
        <v>8</v>
      </c>
      <c r="J1" s="78" t="s">
        <v>519</v>
      </c>
      <c r="K1" s="77" t="s">
        <v>9</v>
      </c>
      <c r="L1" s="77" t="s">
        <v>10</v>
      </c>
      <c r="M1" s="77" t="s">
        <v>9</v>
      </c>
      <c r="N1" s="78" t="s">
        <v>520</v>
      </c>
      <c r="O1" s="77" t="s">
        <v>9</v>
      </c>
      <c r="P1" s="70" t="s">
        <v>552</v>
      </c>
      <c r="Q1" s="70" t="s">
        <v>555</v>
      </c>
      <c r="R1" s="77" t="s">
        <v>9</v>
      </c>
      <c r="S1" s="77" t="s">
        <v>11</v>
      </c>
      <c r="T1" s="77" t="s">
        <v>12</v>
      </c>
    </row>
    <row r="2" spans="1:20" s="1" customFormat="1" ht="60" x14ac:dyDescent="0.25">
      <c r="A2" s="4" t="s">
        <v>35</v>
      </c>
      <c r="B2" s="4" t="s">
        <v>36</v>
      </c>
      <c r="C2" s="4" t="s">
        <v>28</v>
      </c>
      <c r="D2" s="4" t="s">
        <v>16</v>
      </c>
      <c r="E2" s="4" t="s">
        <v>375</v>
      </c>
      <c r="F2" s="4" t="s">
        <v>18</v>
      </c>
      <c r="G2" s="9" t="s">
        <v>321</v>
      </c>
      <c r="H2" s="4" t="s">
        <v>25</v>
      </c>
      <c r="I2" s="4" t="s">
        <v>19</v>
      </c>
      <c r="J2" s="63">
        <v>12000</v>
      </c>
      <c r="K2" s="4" t="s">
        <v>20</v>
      </c>
      <c r="L2" s="15">
        <v>12000</v>
      </c>
      <c r="M2" s="4" t="s">
        <v>20</v>
      </c>
      <c r="N2" s="4" t="s">
        <v>76</v>
      </c>
      <c r="O2" s="4"/>
      <c r="P2" s="17" t="s">
        <v>554</v>
      </c>
      <c r="Q2" s="4">
        <v>0</v>
      </c>
      <c r="R2" s="4" t="s">
        <v>20</v>
      </c>
      <c r="S2" s="4"/>
      <c r="T2" s="16" t="s">
        <v>446</v>
      </c>
    </row>
    <row r="3" spans="1:20" s="1" customFormat="1" ht="60" x14ac:dyDescent="0.25">
      <c r="A3" s="4" t="s">
        <v>13</v>
      </c>
      <c r="B3" s="4" t="s">
        <v>14</v>
      </c>
      <c r="C3" s="4" t="s">
        <v>15</v>
      </c>
      <c r="D3" s="4" t="s">
        <v>16</v>
      </c>
      <c r="E3" s="4" t="s">
        <v>17</v>
      </c>
      <c r="F3" s="4" t="s">
        <v>18</v>
      </c>
      <c r="G3" s="9" t="s">
        <v>317</v>
      </c>
      <c r="H3" s="4" t="s">
        <v>112</v>
      </c>
      <c r="I3" s="4" t="s">
        <v>19</v>
      </c>
      <c r="J3" s="63">
        <v>52000</v>
      </c>
      <c r="K3" s="4" t="s">
        <v>20</v>
      </c>
      <c r="L3" s="15">
        <v>62400</v>
      </c>
      <c r="M3" s="4" t="s">
        <v>20</v>
      </c>
      <c r="N3" s="4" t="s">
        <v>76</v>
      </c>
      <c r="O3" s="4"/>
      <c r="P3" s="17" t="s">
        <v>554</v>
      </c>
      <c r="Q3" s="4" t="s">
        <v>49</v>
      </c>
      <c r="R3" s="4" t="s">
        <v>20</v>
      </c>
      <c r="S3" s="4"/>
      <c r="T3" s="16" t="s">
        <v>475</v>
      </c>
    </row>
    <row r="4" spans="1:20" s="1" customFormat="1" ht="90" x14ac:dyDescent="0.25">
      <c r="A4" s="4" t="s">
        <v>21</v>
      </c>
      <c r="B4" s="4" t="s">
        <v>22</v>
      </c>
      <c r="C4" s="4" t="s">
        <v>23</v>
      </c>
      <c r="D4" s="4" t="s">
        <v>16</v>
      </c>
      <c r="E4" s="4" t="s">
        <v>24</v>
      </c>
      <c r="F4" s="4" t="s">
        <v>18</v>
      </c>
      <c r="G4" s="9" t="s">
        <v>318</v>
      </c>
      <c r="H4" s="4" t="s">
        <v>25</v>
      </c>
      <c r="I4" s="4" t="s">
        <v>19</v>
      </c>
      <c r="J4" s="63">
        <v>17100</v>
      </c>
      <c r="K4" s="4" t="s">
        <v>20</v>
      </c>
      <c r="L4" s="15">
        <v>17000</v>
      </c>
      <c r="M4" s="4" t="s">
        <v>20</v>
      </c>
      <c r="N4" s="4" t="s">
        <v>76</v>
      </c>
      <c r="O4" s="4"/>
      <c r="P4" s="17" t="s">
        <v>554</v>
      </c>
      <c r="Q4" s="4">
        <v>0</v>
      </c>
      <c r="R4" s="4" t="s">
        <v>20</v>
      </c>
      <c r="S4" s="4"/>
      <c r="T4" s="9" t="s">
        <v>447</v>
      </c>
    </row>
    <row r="5" spans="1:20" s="1" customFormat="1" ht="60" x14ac:dyDescent="0.25">
      <c r="A5" s="4" t="s">
        <v>37</v>
      </c>
      <c r="B5" s="4" t="s">
        <v>38</v>
      </c>
      <c r="C5" s="4" t="s">
        <v>28</v>
      </c>
      <c r="D5" s="4" t="s">
        <v>16</v>
      </c>
      <c r="E5" s="4" t="s">
        <v>39</v>
      </c>
      <c r="F5" s="4" t="s">
        <v>40</v>
      </c>
      <c r="G5" s="9" t="s">
        <v>322</v>
      </c>
      <c r="H5" s="4" t="s">
        <v>41</v>
      </c>
      <c r="I5" s="4" t="s">
        <v>19</v>
      </c>
      <c r="J5" s="63">
        <v>650</v>
      </c>
      <c r="K5" s="4" t="s">
        <v>542</v>
      </c>
      <c r="L5" s="15">
        <v>18.75</v>
      </c>
      <c r="M5" s="4" t="s">
        <v>542</v>
      </c>
      <c r="N5" s="4" t="s">
        <v>76</v>
      </c>
      <c r="O5" s="4"/>
      <c r="P5" s="17" t="s">
        <v>554</v>
      </c>
      <c r="Q5" s="4">
        <v>0</v>
      </c>
      <c r="R5" s="4" t="s">
        <v>20</v>
      </c>
      <c r="S5" s="4"/>
      <c r="T5" s="16" t="s">
        <v>462</v>
      </c>
    </row>
    <row r="6" spans="1:20" s="1" customFormat="1" ht="75" x14ac:dyDescent="0.25">
      <c r="A6" s="4" t="s">
        <v>26</v>
      </c>
      <c r="B6" s="4" t="s">
        <v>27</v>
      </c>
      <c r="C6" s="4" t="s">
        <v>28</v>
      </c>
      <c r="D6" s="4" t="s">
        <v>16</v>
      </c>
      <c r="E6" s="4" t="s">
        <v>24</v>
      </c>
      <c r="F6" s="4" t="s">
        <v>18</v>
      </c>
      <c r="G6" s="9" t="s">
        <v>319</v>
      </c>
      <c r="H6" s="4" t="s">
        <v>29</v>
      </c>
      <c r="I6" s="4" t="s">
        <v>19</v>
      </c>
      <c r="J6" s="63">
        <v>13000</v>
      </c>
      <c r="K6" s="4" t="s">
        <v>20</v>
      </c>
      <c r="L6" s="15">
        <v>5000</v>
      </c>
      <c r="M6" s="4" t="s">
        <v>20</v>
      </c>
      <c r="N6" s="4" t="s">
        <v>76</v>
      </c>
      <c r="O6" s="4"/>
      <c r="P6" s="17" t="s">
        <v>554</v>
      </c>
      <c r="Q6" s="4" t="s">
        <v>463</v>
      </c>
      <c r="R6" s="4"/>
      <c r="S6" s="4"/>
      <c r="T6" s="17" t="s">
        <v>770</v>
      </c>
    </row>
    <row r="7" spans="1:20" s="1" customFormat="1" ht="75" x14ac:dyDescent="0.25">
      <c r="A7" s="4" t="s">
        <v>31</v>
      </c>
      <c r="B7" s="4" t="s">
        <v>32</v>
      </c>
      <c r="C7" s="4" t="s">
        <v>33</v>
      </c>
      <c r="D7" s="4" t="s">
        <v>16</v>
      </c>
      <c r="E7" s="4" t="s">
        <v>34</v>
      </c>
      <c r="F7" s="4" t="s">
        <v>18</v>
      </c>
      <c r="G7" s="9" t="s">
        <v>320</v>
      </c>
      <c r="H7" s="4" t="s">
        <v>29</v>
      </c>
      <c r="I7" s="4" t="s">
        <v>19</v>
      </c>
      <c r="J7" s="63">
        <v>176800</v>
      </c>
      <c r="K7" s="4" t="s">
        <v>20</v>
      </c>
      <c r="L7" s="15">
        <v>2040</v>
      </c>
      <c r="M7" s="4" t="s">
        <v>20</v>
      </c>
      <c r="N7" s="4" t="s">
        <v>76</v>
      </c>
      <c r="O7" s="4"/>
      <c r="P7" s="17" t="s">
        <v>554</v>
      </c>
      <c r="Q7" s="4" t="s">
        <v>463</v>
      </c>
      <c r="R7" s="4"/>
      <c r="S7" s="4"/>
      <c r="T7" s="9" t="s">
        <v>448</v>
      </c>
    </row>
    <row r="8" spans="1:20" x14ac:dyDescent="0.25">
      <c r="I8" s="61" t="s">
        <v>540</v>
      </c>
      <c r="J8" s="82" t="s">
        <v>541</v>
      </c>
      <c r="L8" s="58"/>
      <c r="P8" s="73"/>
      <c r="Q8">
        <f>SUM(Q2:Q7)</f>
        <v>0</v>
      </c>
    </row>
    <row r="9" spans="1:20" x14ac:dyDescent="0.25">
      <c r="H9" s="60" t="s">
        <v>80</v>
      </c>
      <c r="I9">
        <v>0</v>
      </c>
      <c r="J9" s="58">
        <v>0</v>
      </c>
      <c r="L9" s="58"/>
      <c r="P9" s="74"/>
    </row>
    <row r="10" spans="1:20" x14ac:dyDescent="0.25">
      <c r="H10" s="60" t="s">
        <v>138</v>
      </c>
      <c r="I10" s="58">
        <f>SUM(L7+L6+L3)</f>
        <v>69440</v>
      </c>
      <c r="J10" s="58">
        <f>SUM(L7+L6+L3)</f>
        <v>69440</v>
      </c>
      <c r="L10" s="58">
        <f>SUM(L2:L7)</f>
        <v>98458.75</v>
      </c>
      <c r="P10" s="74"/>
    </row>
    <row r="11" spans="1:20" x14ac:dyDescent="0.25">
      <c r="H11" s="60" t="s">
        <v>538</v>
      </c>
      <c r="I11" s="58">
        <v>0</v>
      </c>
      <c r="J11" s="58">
        <v>0</v>
      </c>
      <c r="L11" s="58"/>
      <c r="P11" s="74"/>
    </row>
    <row r="12" spans="1:20" x14ac:dyDescent="0.25">
      <c r="H12" s="60" t="s">
        <v>539</v>
      </c>
      <c r="I12" s="58">
        <f>SUM(L5+L4+L2)</f>
        <v>29018.75</v>
      </c>
      <c r="J12" s="58">
        <f>SUM(L5+L4+L2)</f>
        <v>29018.75</v>
      </c>
      <c r="L12" s="58"/>
      <c r="P12" s="74"/>
    </row>
    <row r="13" spans="1:20" x14ac:dyDescent="0.25">
      <c r="H13" s="85" t="s">
        <v>556</v>
      </c>
      <c r="I13" s="84">
        <f>SUM(I9:I12)</f>
        <v>98458.75</v>
      </c>
      <c r="J13" s="82">
        <f>SUM(J9:J12)</f>
        <v>98458.75</v>
      </c>
      <c r="L13" s="58"/>
      <c r="P13" s="74"/>
    </row>
    <row r="14" spans="1:20" x14ac:dyDescent="0.25">
      <c r="J14" s="89" t="s">
        <v>557</v>
      </c>
      <c r="K14" s="90">
        <f>SUM(I13-J13)</f>
        <v>0</v>
      </c>
    </row>
  </sheetData>
  <autoFilter ref="A1:T7">
    <sortState ref="A2:T8">
      <sortCondition ref="B1"/>
    </sortState>
  </autoFilter>
  <sortState ref="A2:S7">
    <sortCondition ref="B2:B7"/>
  </sortState>
  <pageMargins left="0.7" right="0.7" top="0.75" bottom="0.75" header="0.3" footer="0.3"/>
  <pageSetup orientation="portrait" horizontalDpi="1200" verticalDpi="12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workbookViewId="0">
      <pane ySplit="1" topLeftCell="A2" activePane="bottomLeft" state="frozen"/>
      <selection pane="bottomLeft" activeCell="G3" sqref="G3"/>
    </sheetView>
  </sheetViews>
  <sheetFormatPr defaultRowHeight="15" x14ac:dyDescent="0.25"/>
  <cols>
    <col min="1" max="1" width="12.28515625" customWidth="1"/>
    <col min="2" max="2" width="15.42578125" style="6" customWidth="1"/>
    <col min="3" max="3" width="14.28515625" customWidth="1"/>
    <col min="4" max="4" width="12.85546875" customWidth="1"/>
    <col min="5" max="5" width="16.28515625" style="6" customWidth="1"/>
    <col min="6" max="6" width="13.140625" customWidth="1"/>
    <col min="7" max="7" width="17" customWidth="1"/>
    <col min="8" max="8" width="9.85546875" customWidth="1"/>
    <col min="9" max="9" width="12.85546875" customWidth="1"/>
    <col min="10" max="10" width="13" customWidth="1"/>
    <col min="13" max="13" width="10.28515625" customWidth="1"/>
    <col min="14" max="14" width="13.7109375" customWidth="1"/>
    <col min="15" max="15" width="10.7109375" customWidth="1"/>
    <col min="17" max="17" width="12.7109375" customWidth="1"/>
    <col min="18" max="18" width="10.140625" customWidth="1"/>
  </cols>
  <sheetData>
    <row r="1" spans="1:19" s="62" customFormat="1" ht="76.5" customHeight="1" x14ac:dyDescent="0.25">
      <c r="A1" s="78" t="s">
        <v>0</v>
      </c>
      <c r="B1" s="78" t="s">
        <v>1</v>
      </c>
      <c r="C1" s="78" t="s">
        <v>2</v>
      </c>
      <c r="D1" s="78" t="s">
        <v>3</v>
      </c>
      <c r="E1" s="78" t="s">
        <v>4</v>
      </c>
      <c r="F1" s="78" t="s">
        <v>5</v>
      </c>
      <c r="G1" s="78" t="s">
        <v>6</v>
      </c>
      <c r="H1" s="78" t="s">
        <v>7</v>
      </c>
      <c r="I1" s="78" t="s">
        <v>8</v>
      </c>
      <c r="J1" s="78" t="s">
        <v>519</v>
      </c>
      <c r="K1" s="78" t="s">
        <v>9</v>
      </c>
      <c r="L1" s="78" t="s">
        <v>10</v>
      </c>
      <c r="M1" s="78" t="s">
        <v>9</v>
      </c>
      <c r="N1" s="78" t="s">
        <v>520</v>
      </c>
      <c r="O1" s="78" t="s">
        <v>9</v>
      </c>
      <c r="P1" s="70" t="s">
        <v>552</v>
      </c>
      <c r="Q1" s="70" t="s">
        <v>555</v>
      </c>
      <c r="R1" s="78" t="s">
        <v>9</v>
      </c>
      <c r="S1" s="78" t="s">
        <v>12</v>
      </c>
    </row>
    <row r="2" spans="1:19" s="1" customFormat="1" ht="85.5" customHeight="1" x14ac:dyDescent="0.25">
      <c r="A2" s="4" t="s">
        <v>668</v>
      </c>
      <c r="B2" s="17" t="s">
        <v>669</v>
      </c>
      <c r="C2" s="17" t="s">
        <v>15</v>
      </c>
      <c r="D2" s="128" t="s">
        <v>670</v>
      </c>
      <c r="E2" s="17" t="s">
        <v>671</v>
      </c>
      <c r="F2" s="128" t="s">
        <v>670</v>
      </c>
      <c r="G2" s="17" t="s">
        <v>672</v>
      </c>
      <c r="H2" s="17" t="s">
        <v>112</v>
      </c>
      <c r="I2" s="123" t="s">
        <v>19</v>
      </c>
      <c r="J2" s="124">
        <v>100</v>
      </c>
      <c r="K2" s="125" t="s">
        <v>30</v>
      </c>
      <c r="L2" s="124">
        <v>6500</v>
      </c>
      <c r="M2" s="125" t="s">
        <v>20</v>
      </c>
      <c r="N2" s="124">
        <v>6500</v>
      </c>
      <c r="O2" s="125" t="s">
        <v>20</v>
      </c>
      <c r="P2" s="125" t="s">
        <v>764</v>
      </c>
      <c r="Q2" s="125">
        <v>0</v>
      </c>
      <c r="R2" s="125" t="s">
        <v>20</v>
      </c>
      <c r="S2" s="9" t="s">
        <v>582</v>
      </c>
    </row>
    <row r="3" spans="1:19" s="1" customFormat="1" ht="48" customHeight="1" x14ac:dyDescent="0.25">
      <c r="A3" t="s">
        <v>673</v>
      </c>
      <c r="B3" s="9" t="s">
        <v>674</v>
      </c>
      <c r="C3" s="9" t="s">
        <v>33</v>
      </c>
      <c r="D3" s="128" t="s">
        <v>670</v>
      </c>
      <c r="E3" s="17" t="s">
        <v>675</v>
      </c>
      <c r="F3" s="128" t="s">
        <v>670</v>
      </c>
      <c r="G3" s="17" t="s">
        <v>676</v>
      </c>
      <c r="H3" s="9" t="s">
        <v>138</v>
      </c>
      <c r="I3" s="123" t="s">
        <v>19</v>
      </c>
      <c r="J3" s="124" t="s">
        <v>61</v>
      </c>
      <c r="K3" s="124" t="s">
        <v>61</v>
      </c>
      <c r="L3" s="124" t="s">
        <v>61</v>
      </c>
      <c r="M3" s="124" t="s">
        <v>61</v>
      </c>
      <c r="N3" s="125" t="s">
        <v>76</v>
      </c>
      <c r="O3" s="125" t="s">
        <v>20</v>
      </c>
      <c r="P3" s="125" t="s">
        <v>764</v>
      </c>
      <c r="Q3" s="125">
        <v>0</v>
      </c>
      <c r="R3" s="125" t="s">
        <v>20</v>
      </c>
      <c r="S3" s="9"/>
    </row>
    <row r="4" spans="1:19" x14ac:dyDescent="0.25">
      <c r="L4" s="58">
        <f>SUM(L2:L3)</f>
        <v>6500</v>
      </c>
      <c r="Q4">
        <f>SUM(Q2:Q3)</f>
        <v>0</v>
      </c>
    </row>
    <row r="5" spans="1:19" ht="30" x14ac:dyDescent="0.25">
      <c r="I5" s="83" t="s">
        <v>540</v>
      </c>
      <c r="J5" s="62" t="s">
        <v>541</v>
      </c>
    </row>
    <row r="6" spans="1:19" x14ac:dyDescent="0.25">
      <c r="G6" s="60" t="s">
        <v>80</v>
      </c>
      <c r="H6" s="60"/>
      <c r="I6" s="58">
        <v>0</v>
      </c>
      <c r="J6" s="58">
        <v>0</v>
      </c>
    </row>
    <row r="7" spans="1:19" x14ac:dyDescent="0.25">
      <c r="G7" s="60" t="s">
        <v>138</v>
      </c>
      <c r="H7" s="60"/>
      <c r="I7" s="58">
        <f>SUM(L2)</f>
        <v>6500</v>
      </c>
      <c r="J7" s="58">
        <f>SUM((L2)-(Q2))</f>
        <v>6500</v>
      </c>
    </row>
    <row r="8" spans="1:19" x14ac:dyDescent="0.25">
      <c r="G8" s="60" t="s">
        <v>538</v>
      </c>
      <c r="H8" s="60"/>
      <c r="I8" s="58">
        <v>0</v>
      </c>
      <c r="J8" s="58">
        <v>0</v>
      </c>
    </row>
    <row r="9" spans="1:19" x14ac:dyDescent="0.25">
      <c r="G9" s="60" t="s">
        <v>539</v>
      </c>
      <c r="H9" s="60"/>
      <c r="I9" s="58">
        <v>0</v>
      </c>
      <c r="J9" s="58">
        <v>0</v>
      </c>
    </row>
    <row r="10" spans="1:19" x14ac:dyDescent="0.25">
      <c r="H10" s="85" t="s">
        <v>556</v>
      </c>
      <c r="I10" s="84">
        <f>SUM(I6:I9)</f>
        <v>6500</v>
      </c>
      <c r="J10" s="82">
        <f>SUM(J6:J9)</f>
        <v>6500</v>
      </c>
    </row>
    <row r="11" spans="1:19" ht="30" x14ac:dyDescent="0.25">
      <c r="J11" s="89" t="s">
        <v>557</v>
      </c>
      <c r="K11" s="90">
        <f>SUM(I10-J10)</f>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
  <sheetViews>
    <sheetView workbookViewId="0">
      <pane ySplit="1" topLeftCell="A7" activePane="bottomLeft" state="frozen"/>
      <selection pane="bottomLeft" activeCell="E8" sqref="E8"/>
    </sheetView>
  </sheetViews>
  <sheetFormatPr defaultRowHeight="15" x14ac:dyDescent="0.25"/>
  <cols>
    <col min="1" max="1" width="13.28515625" customWidth="1"/>
    <col min="2" max="2" width="11" customWidth="1"/>
    <col min="3" max="3" width="12.5703125" customWidth="1"/>
    <col min="4" max="4" width="12.28515625" customWidth="1"/>
    <col min="5" max="5" width="12.5703125" style="6" customWidth="1"/>
    <col min="7" max="7" width="16.42578125" customWidth="1"/>
    <col min="8" max="8" width="12.42578125" customWidth="1"/>
    <col min="9" max="9" width="12.140625" customWidth="1"/>
    <col min="10" max="10" width="11.5703125" customWidth="1"/>
    <col min="11" max="11" width="11.7109375" customWidth="1"/>
    <col min="13" max="13" width="12" customWidth="1"/>
    <col min="14" max="14" width="13" style="58" customWidth="1"/>
    <col min="15" max="15" width="11" customWidth="1"/>
    <col min="17" max="17" width="13.5703125" customWidth="1"/>
    <col min="18" max="18" width="10.140625" customWidth="1"/>
  </cols>
  <sheetData>
    <row r="1" spans="1:19" s="62" customFormat="1" ht="75" x14ac:dyDescent="0.25">
      <c r="A1" s="78" t="s">
        <v>0</v>
      </c>
      <c r="B1" s="78" t="s">
        <v>1</v>
      </c>
      <c r="C1" s="78" t="s">
        <v>2</v>
      </c>
      <c r="D1" s="78" t="s">
        <v>3</v>
      </c>
      <c r="E1" s="78" t="s">
        <v>4</v>
      </c>
      <c r="F1" s="78" t="s">
        <v>5</v>
      </c>
      <c r="G1" s="78" t="s">
        <v>6</v>
      </c>
      <c r="H1" s="78" t="s">
        <v>7</v>
      </c>
      <c r="I1" s="78" t="s">
        <v>8</v>
      </c>
      <c r="J1" s="78" t="s">
        <v>519</v>
      </c>
      <c r="K1" s="78" t="s">
        <v>9</v>
      </c>
      <c r="L1" s="78" t="s">
        <v>10</v>
      </c>
      <c r="M1" s="78" t="s">
        <v>9</v>
      </c>
      <c r="N1" s="142" t="s">
        <v>520</v>
      </c>
      <c r="O1" s="78" t="s">
        <v>9</v>
      </c>
      <c r="P1" s="70" t="s">
        <v>552</v>
      </c>
      <c r="Q1" s="70" t="s">
        <v>555</v>
      </c>
      <c r="R1" s="78" t="s">
        <v>9</v>
      </c>
      <c r="S1" s="78" t="s">
        <v>12</v>
      </c>
    </row>
    <row r="2" spans="1:19" s="1" customFormat="1" ht="75" x14ac:dyDescent="0.25">
      <c r="A2" s="4" t="s">
        <v>677</v>
      </c>
      <c r="B2" s="9" t="s">
        <v>678</v>
      </c>
      <c r="C2" s="17" t="s">
        <v>15</v>
      </c>
      <c r="D2" s="122" t="s">
        <v>679</v>
      </c>
      <c r="E2" s="9" t="s">
        <v>680</v>
      </c>
      <c r="F2" s="122" t="s">
        <v>681</v>
      </c>
      <c r="G2" s="9" t="s">
        <v>682</v>
      </c>
      <c r="H2" s="9" t="s">
        <v>112</v>
      </c>
      <c r="I2" s="122" t="s">
        <v>19</v>
      </c>
      <c r="J2" s="122">
        <v>200</v>
      </c>
      <c r="K2" s="127" t="s">
        <v>30</v>
      </c>
      <c r="L2" s="130">
        <v>1563</v>
      </c>
      <c r="M2" s="127" t="s">
        <v>20</v>
      </c>
      <c r="N2" s="130">
        <v>1563</v>
      </c>
      <c r="O2" s="122" t="s">
        <v>20</v>
      </c>
      <c r="P2" s="122" t="s">
        <v>764</v>
      </c>
      <c r="Q2" s="127">
        <v>0</v>
      </c>
      <c r="R2" s="122" t="s">
        <v>20</v>
      </c>
      <c r="S2" s="9"/>
    </row>
    <row r="3" spans="1:19" s="1" customFormat="1" ht="165" x14ac:dyDescent="0.25">
      <c r="A3" s="4" t="s">
        <v>683</v>
      </c>
      <c r="B3" s="9" t="s">
        <v>684</v>
      </c>
      <c r="C3" s="9" t="s">
        <v>64</v>
      </c>
      <c r="D3" s="122" t="s">
        <v>679</v>
      </c>
      <c r="E3" s="9" t="s">
        <v>685</v>
      </c>
      <c r="F3" s="122" t="s">
        <v>686</v>
      </c>
      <c r="G3" s="9" t="s">
        <v>687</v>
      </c>
      <c r="H3" s="9" t="s">
        <v>688</v>
      </c>
      <c r="I3" s="122" t="s">
        <v>19</v>
      </c>
      <c r="J3" s="130">
        <v>1100</v>
      </c>
      <c r="K3" s="127" t="s">
        <v>30</v>
      </c>
      <c r="L3" s="130">
        <v>100000</v>
      </c>
      <c r="M3" s="127" t="s">
        <v>20</v>
      </c>
      <c r="N3" s="130">
        <v>100000</v>
      </c>
      <c r="O3" s="122" t="s">
        <v>20</v>
      </c>
      <c r="P3" s="122" t="s">
        <v>764</v>
      </c>
      <c r="Q3" s="139" t="s">
        <v>49</v>
      </c>
      <c r="R3" s="122" t="s">
        <v>20</v>
      </c>
      <c r="S3" s="9" t="s">
        <v>767</v>
      </c>
    </row>
    <row r="4" spans="1:19" s="1" customFormat="1" ht="56.25" customHeight="1" x14ac:dyDescent="0.25">
      <c r="A4" s="4" t="s">
        <v>689</v>
      </c>
      <c r="B4" s="9" t="s">
        <v>690</v>
      </c>
      <c r="C4" s="9" t="s">
        <v>28</v>
      </c>
      <c r="D4" s="122" t="s">
        <v>679</v>
      </c>
      <c r="E4" s="9" t="s">
        <v>691</v>
      </c>
      <c r="F4" s="122" t="s">
        <v>692</v>
      </c>
      <c r="G4" s="9" t="s">
        <v>693</v>
      </c>
      <c r="H4" s="9" t="s">
        <v>29</v>
      </c>
      <c r="I4" s="122" t="s">
        <v>19</v>
      </c>
      <c r="J4" s="122">
        <v>20</v>
      </c>
      <c r="K4" s="125" t="s">
        <v>568</v>
      </c>
      <c r="L4" s="130">
        <v>880</v>
      </c>
      <c r="M4" s="127" t="s">
        <v>20</v>
      </c>
      <c r="N4" s="130">
        <v>880</v>
      </c>
      <c r="O4" s="122" t="s">
        <v>20</v>
      </c>
      <c r="P4" s="122" t="s">
        <v>764</v>
      </c>
      <c r="Q4" s="139">
        <v>0</v>
      </c>
      <c r="R4" s="122" t="s">
        <v>20</v>
      </c>
      <c r="S4" s="9"/>
    </row>
    <row r="5" spans="1:19" s="1" customFormat="1" ht="45" customHeight="1" x14ac:dyDescent="0.25">
      <c r="A5" s="4" t="s">
        <v>694</v>
      </c>
      <c r="B5" s="9" t="s">
        <v>695</v>
      </c>
      <c r="C5" s="9" t="s">
        <v>64</v>
      </c>
      <c r="D5" s="122" t="s">
        <v>679</v>
      </c>
      <c r="E5" s="9" t="s">
        <v>696</v>
      </c>
      <c r="F5" s="122" t="s">
        <v>697</v>
      </c>
      <c r="G5" s="9" t="s">
        <v>698</v>
      </c>
      <c r="H5" s="9" t="s">
        <v>143</v>
      </c>
      <c r="I5" s="122" t="s">
        <v>19</v>
      </c>
      <c r="J5" s="130">
        <v>1038</v>
      </c>
      <c r="K5" s="127" t="s">
        <v>574</v>
      </c>
      <c r="L5" s="130">
        <v>8588</v>
      </c>
      <c r="M5" s="127" t="s">
        <v>20</v>
      </c>
      <c r="N5" s="130">
        <v>8588</v>
      </c>
      <c r="O5" s="122" t="s">
        <v>20</v>
      </c>
      <c r="P5" s="122" t="s">
        <v>764</v>
      </c>
      <c r="Q5" s="139">
        <v>0</v>
      </c>
      <c r="R5" s="122" t="s">
        <v>20</v>
      </c>
      <c r="S5" s="9"/>
    </row>
    <row r="6" spans="1:19" s="1" customFormat="1" ht="90" x14ac:dyDescent="0.25">
      <c r="A6" s="4" t="s">
        <v>699</v>
      </c>
      <c r="B6" s="9" t="s">
        <v>700</v>
      </c>
      <c r="C6" s="9" t="s">
        <v>33</v>
      </c>
      <c r="D6" s="122" t="s">
        <v>679</v>
      </c>
      <c r="E6" s="9" t="s">
        <v>701</v>
      </c>
      <c r="F6" s="122" t="s">
        <v>681</v>
      </c>
      <c r="G6" s="9" t="s">
        <v>702</v>
      </c>
      <c r="H6" s="9" t="s">
        <v>112</v>
      </c>
      <c r="I6" s="122" t="s">
        <v>235</v>
      </c>
      <c r="J6" s="130">
        <v>12500</v>
      </c>
      <c r="K6" s="127" t="s">
        <v>636</v>
      </c>
      <c r="L6" s="130">
        <v>5000</v>
      </c>
      <c r="M6" s="127" t="s">
        <v>20</v>
      </c>
      <c r="N6" s="130" t="s">
        <v>236</v>
      </c>
      <c r="O6" s="122" t="s">
        <v>236</v>
      </c>
      <c r="P6" s="122" t="s">
        <v>764</v>
      </c>
      <c r="Q6" s="122">
        <v>0</v>
      </c>
      <c r="R6" s="122" t="s">
        <v>236</v>
      </c>
      <c r="S6" s="9"/>
    </row>
    <row r="7" spans="1:19" s="1" customFormat="1" ht="56.25" customHeight="1" x14ac:dyDescent="0.25">
      <c r="A7" s="4" t="s">
        <v>703</v>
      </c>
      <c r="B7" s="9" t="s">
        <v>704</v>
      </c>
      <c r="C7" s="9" t="s">
        <v>91</v>
      </c>
      <c r="D7" s="122" t="s">
        <v>679</v>
      </c>
      <c r="E7" s="9" t="s">
        <v>705</v>
      </c>
      <c r="F7" s="122" t="s">
        <v>706</v>
      </c>
      <c r="G7" s="9" t="s">
        <v>707</v>
      </c>
      <c r="H7" s="9" t="s">
        <v>138</v>
      </c>
      <c r="I7" s="122" t="s">
        <v>235</v>
      </c>
      <c r="J7" s="122" t="s">
        <v>61</v>
      </c>
      <c r="K7" s="122" t="s">
        <v>61</v>
      </c>
      <c r="L7" s="122" t="s">
        <v>61</v>
      </c>
      <c r="M7" s="122" t="s">
        <v>61</v>
      </c>
      <c r="N7" s="130" t="s">
        <v>236</v>
      </c>
      <c r="O7" s="122" t="s">
        <v>236</v>
      </c>
      <c r="P7" s="122" t="s">
        <v>764</v>
      </c>
      <c r="Q7" s="122">
        <v>0</v>
      </c>
      <c r="R7" s="122" t="s">
        <v>236</v>
      </c>
      <c r="S7" s="9"/>
    </row>
    <row r="8" spans="1:19" s="1" customFormat="1" ht="60" x14ac:dyDescent="0.25">
      <c r="A8" s="4" t="s">
        <v>708</v>
      </c>
      <c r="B8" s="9" t="s">
        <v>709</v>
      </c>
      <c r="C8" s="9" t="s">
        <v>91</v>
      </c>
      <c r="D8" s="122" t="s">
        <v>679</v>
      </c>
      <c r="E8" s="9" t="s">
        <v>710</v>
      </c>
      <c r="F8" s="122" t="s">
        <v>711</v>
      </c>
      <c r="G8" s="9" t="s">
        <v>712</v>
      </c>
      <c r="H8" s="9" t="s">
        <v>713</v>
      </c>
      <c r="I8" s="122" t="s">
        <v>19</v>
      </c>
      <c r="J8" s="122">
        <v>500</v>
      </c>
      <c r="K8" s="127" t="s">
        <v>30</v>
      </c>
      <c r="L8" s="130">
        <v>12500</v>
      </c>
      <c r="M8" s="127" t="s">
        <v>20</v>
      </c>
      <c r="N8" s="130">
        <v>12500</v>
      </c>
      <c r="O8" s="122" t="s">
        <v>20</v>
      </c>
      <c r="P8" s="122" t="s">
        <v>764</v>
      </c>
      <c r="Q8" s="139">
        <v>0</v>
      </c>
      <c r="R8" s="122" t="s">
        <v>20</v>
      </c>
      <c r="S8" s="9"/>
    </row>
    <row r="9" spans="1:19" s="1" customFormat="1" ht="51" customHeight="1" x14ac:dyDescent="0.25">
      <c r="A9" s="4" t="s">
        <v>714</v>
      </c>
      <c r="B9" s="9" t="s">
        <v>715</v>
      </c>
      <c r="C9" s="9" t="s">
        <v>28</v>
      </c>
      <c r="D9" s="122" t="s">
        <v>679</v>
      </c>
      <c r="E9" s="9" t="s">
        <v>716</v>
      </c>
      <c r="F9" s="122" t="s">
        <v>686</v>
      </c>
      <c r="G9" s="9" t="s">
        <v>717</v>
      </c>
      <c r="H9" s="9" t="s">
        <v>41</v>
      </c>
      <c r="I9" s="122" t="s">
        <v>19</v>
      </c>
      <c r="J9" s="122">
        <v>36</v>
      </c>
      <c r="K9" s="127" t="s">
        <v>30</v>
      </c>
      <c r="L9" s="130">
        <v>4000</v>
      </c>
      <c r="M9" s="127" t="s">
        <v>20</v>
      </c>
      <c r="N9" s="130">
        <v>4000</v>
      </c>
      <c r="O9" s="122" t="s">
        <v>20</v>
      </c>
      <c r="P9" s="122" t="s">
        <v>764</v>
      </c>
      <c r="Q9" s="139">
        <v>0</v>
      </c>
      <c r="R9" s="122" t="s">
        <v>20</v>
      </c>
      <c r="S9" s="9"/>
    </row>
    <row r="10" spans="1:19" s="1" customFormat="1" ht="81.75" customHeight="1" x14ac:dyDescent="0.25">
      <c r="A10" s="3" t="s">
        <v>718</v>
      </c>
      <c r="B10" s="9" t="s">
        <v>719</v>
      </c>
      <c r="C10" s="9" t="s">
        <v>28</v>
      </c>
      <c r="D10" s="122" t="s">
        <v>679</v>
      </c>
      <c r="E10" s="9" t="s">
        <v>720</v>
      </c>
      <c r="F10" s="122" t="s">
        <v>721</v>
      </c>
      <c r="G10" s="9" t="s">
        <v>722</v>
      </c>
      <c r="H10" s="9" t="s">
        <v>25</v>
      </c>
      <c r="I10" s="122" t="s">
        <v>19</v>
      </c>
      <c r="J10" s="130">
        <v>3125</v>
      </c>
      <c r="K10" s="127" t="s">
        <v>71</v>
      </c>
      <c r="L10" s="130">
        <v>4688</v>
      </c>
      <c r="M10" s="127" t="s">
        <v>20</v>
      </c>
      <c r="N10" s="130" t="s">
        <v>76</v>
      </c>
      <c r="O10" s="122" t="s">
        <v>20</v>
      </c>
      <c r="P10" s="122" t="s">
        <v>764</v>
      </c>
      <c r="Q10" s="139">
        <v>0</v>
      </c>
      <c r="R10" s="122" t="s">
        <v>20</v>
      </c>
      <c r="S10" s="9"/>
    </row>
    <row r="11" spans="1:19" x14ac:dyDescent="0.25">
      <c r="L11" s="58">
        <f>SUM(L2:L10)</f>
        <v>137219</v>
      </c>
      <c r="N11" s="81"/>
      <c r="O11" s="1"/>
      <c r="P11" s="1"/>
      <c r="Q11" s="140">
        <f>SUM(Q2:Q10)</f>
        <v>0</v>
      </c>
      <c r="R11" s="1"/>
      <c r="S11" s="1"/>
    </row>
    <row r="12" spans="1:19" ht="30" x14ac:dyDescent="0.25">
      <c r="I12" s="83" t="s">
        <v>540</v>
      </c>
      <c r="J12" s="62" t="s">
        <v>541</v>
      </c>
      <c r="N12" s="81"/>
      <c r="O12" s="1"/>
      <c r="P12" s="1"/>
      <c r="Q12" s="1"/>
      <c r="R12" s="1"/>
      <c r="S12" s="1"/>
    </row>
    <row r="13" spans="1:19" x14ac:dyDescent="0.25">
      <c r="H13" s="60" t="s">
        <v>80</v>
      </c>
      <c r="I13" s="58">
        <v>0</v>
      </c>
      <c r="J13" s="58">
        <v>0</v>
      </c>
      <c r="N13" s="81"/>
      <c r="O13" s="1"/>
      <c r="P13" s="1"/>
      <c r="Q13" s="1"/>
      <c r="R13" s="1"/>
      <c r="S13" s="1"/>
    </row>
    <row r="14" spans="1:19" x14ac:dyDescent="0.25">
      <c r="H14" s="60" t="s">
        <v>138</v>
      </c>
      <c r="I14" s="58">
        <f>SUM(L2+L4+L6)</f>
        <v>7443</v>
      </c>
      <c r="J14" s="58">
        <f>SUM((L2+L4+L6)-(0))</f>
        <v>7443</v>
      </c>
      <c r="N14" s="81"/>
      <c r="O14" s="1"/>
      <c r="P14" s="1"/>
      <c r="Q14" s="1"/>
      <c r="R14" s="1"/>
      <c r="S14" s="1"/>
    </row>
    <row r="15" spans="1:19" x14ac:dyDescent="0.25">
      <c r="H15" s="60" t="s">
        <v>538</v>
      </c>
      <c r="I15" s="58">
        <f>SUM(L3+L5+L8)</f>
        <v>121088</v>
      </c>
      <c r="J15" s="58">
        <f>SUM((L3+L5+L8)-(Q8))</f>
        <v>121088</v>
      </c>
      <c r="N15" s="81"/>
      <c r="O15" s="1"/>
      <c r="P15" s="1"/>
      <c r="Q15" s="1"/>
      <c r="R15" s="1"/>
      <c r="S15" s="1"/>
    </row>
    <row r="16" spans="1:19" x14ac:dyDescent="0.25">
      <c r="H16" s="60" t="s">
        <v>539</v>
      </c>
      <c r="I16" s="58">
        <f>SUM(L10+L9)</f>
        <v>8688</v>
      </c>
      <c r="J16" s="58">
        <f>SUM((L10+L9)-(Q10+Q9))</f>
        <v>8688</v>
      </c>
      <c r="N16" s="81"/>
      <c r="O16" s="1"/>
      <c r="P16" s="1"/>
      <c r="Q16" s="1"/>
      <c r="R16" s="1"/>
      <c r="S16" s="1"/>
    </row>
    <row r="17" spans="8:19" x14ac:dyDescent="0.25">
      <c r="H17" s="85" t="s">
        <v>556</v>
      </c>
      <c r="I17" s="84">
        <f>SUM(I13:I16)</f>
        <v>137219</v>
      </c>
      <c r="J17" s="82">
        <f>SUM(J13:J16)</f>
        <v>137219</v>
      </c>
      <c r="N17" s="81"/>
      <c r="O17" s="1"/>
      <c r="P17" s="1"/>
      <c r="Q17" s="1"/>
      <c r="R17" s="1"/>
      <c r="S17" s="1"/>
    </row>
    <row r="18" spans="8:19" ht="30" x14ac:dyDescent="0.25">
      <c r="J18" s="89" t="s">
        <v>557</v>
      </c>
      <c r="K18" s="90">
        <f>SUM(I17-J17)</f>
        <v>0</v>
      </c>
    </row>
  </sheetData>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
  <sheetViews>
    <sheetView zoomScale="90" zoomScaleNormal="90" workbookViewId="0">
      <pane xSplit="2" ySplit="1" topLeftCell="N4" activePane="bottomRight" state="frozen"/>
      <selection pane="topRight" activeCell="C1" sqref="C1"/>
      <selection pane="bottomLeft" activeCell="A2" sqref="A2"/>
      <selection pane="bottomRight" activeCell="S6" sqref="S6"/>
    </sheetView>
  </sheetViews>
  <sheetFormatPr defaultRowHeight="15" x14ac:dyDescent="0.25"/>
  <cols>
    <col min="1" max="1" width="13.42578125" bestFit="1" customWidth="1"/>
    <col min="2" max="2" width="42.140625" bestFit="1" customWidth="1"/>
    <col min="3" max="3" width="46.42578125" bestFit="1" customWidth="1"/>
    <col min="4" max="4" width="10.28515625" bestFit="1" customWidth="1"/>
    <col min="5" max="5" width="23.42578125" bestFit="1" customWidth="1"/>
    <col min="6" max="6" width="18.5703125" bestFit="1" customWidth="1"/>
    <col min="7" max="7" width="47.140625" customWidth="1"/>
    <col min="8" max="8" width="27.28515625" customWidth="1"/>
    <col min="9" max="9" width="17.7109375" bestFit="1" customWidth="1"/>
    <col min="10" max="10" width="22.140625" customWidth="1"/>
    <col min="11" max="11" width="21.5703125" bestFit="1" customWidth="1"/>
    <col min="12" max="12" width="15" bestFit="1" customWidth="1"/>
    <col min="13" max="13" width="15.85546875" bestFit="1" customWidth="1"/>
    <col min="14" max="14" width="23" customWidth="1"/>
    <col min="15" max="15" width="9.85546875" bestFit="1" customWidth="1"/>
    <col min="16" max="16" width="10.7109375" style="72" customWidth="1"/>
    <col min="17" max="17" width="19.140625" customWidth="1"/>
    <col min="18" max="18" width="9.85546875" bestFit="1" customWidth="1"/>
    <col min="19" max="19" width="72.42578125" customWidth="1"/>
  </cols>
  <sheetData>
    <row r="1" spans="1:19" s="2" customFormat="1" ht="45" x14ac:dyDescent="0.25">
      <c r="A1" s="77" t="s">
        <v>0</v>
      </c>
      <c r="B1" s="77" t="s">
        <v>1</v>
      </c>
      <c r="C1" s="77" t="s">
        <v>2</v>
      </c>
      <c r="D1" s="77" t="s">
        <v>3</v>
      </c>
      <c r="E1" s="77" t="s">
        <v>4</v>
      </c>
      <c r="F1" s="77" t="s">
        <v>5</v>
      </c>
      <c r="G1" s="77" t="s">
        <v>6</v>
      </c>
      <c r="H1" s="77" t="s">
        <v>7</v>
      </c>
      <c r="I1" s="77" t="s">
        <v>8</v>
      </c>
      <c r="J1" s="78" t="s">
        <v>519</v>
      </c>
      <c r="K1" s="77" t="s">
        <v>9</v>
      </c>
      <c r="L1" s="77" t="s">
        <v>10</v>
      </c>
      <c r="M1" s="77" t="s">
        <v>9</v>
      </c>
      <c r="N1" s="78" t="s">
        <v>520</v>
      </c>
      <c r="O1" s="77" t="s">
        <v>9</v>
      </c>
      <c r="P1" s="70" t="s">
        <v>552</v>
      </c>
      <c r="Q1" s="70" t="s">
        <v>555</v>
      </c>
      <c r="R1" s="77" t="s">
        <v>9</v>
      </c>
      <c r="S1" s="77" t="s">
        <v>12</v>
      </c>
    </row>
    <row r="2" spans="1:19" s="1" customFormat="1" ht="75" x14ac:dyDescent="0.25">
      <c r="A2" s="4" t="s">
        <v>173</v>
      </c>
      <c r="B2" s="4" t="s">
        <v>174</v>
      </c>
      <c r="C2" s="4" t="s">
        <v>15</v>
      </c>
      <c r="D2" s="4" t="s">
        <v>162</v>
      </c>
      <c r="E2" s="4" t="s">
        <v>175</v>
      </c>
      <c r="F2" s="4" t="s">
        <v>168</v>
      </c>
      <c r="G2" s="9" t="s">
        <v>368</v>
      </c>
      <c r="H2" s="4" t="s">
        <v>70</v>
      </c>
      <c r="I2" s="4" t="s">
        <v>19</v>
      </c>
      <c r="J2" s="15">
        <v>2275</v>
      </c>
      <c r="K2" s="4" t="s">
        <v>542</v>
      </c>
      <c r="L2" s="15">
        <v>2668</v>
      </c>
      <c r="M2" s="4" t="s">
        <v>542</v>
      </c>
      <c r="N2" s="15">
        <v>5000</v>
      </c>
      <c r="O2" s="4" t="s">
        <v>487</v>
      </c>
      <c r="P2" s="17" t="s">
        <v>554</v>
      </c>
      <c r="Q2" s="4" t="s">
        <v>463</v>
      </c>
      <c r="R2" s="4"/>
      <c r="S2" s="9" t="s">
        <v>488</v>
      </c>
    </row>
    <row r="3" spans="1:19" s="1" customFormat="1" ht="75" x14ac:dyDescent="0.25">
      <c r="A3" s="3" t="s">
        <v>406</v>
      </c>
      <c r="B3" s="3" t="s">
        <v>408</v>
      </c>
      <c r="C3" s="3" t="s">
        <v>405</v>
      </c>
      <c r="D3" s="3" t="s">
        <v>162</v>
      </c>
      <c r="E3" s="3" t="s">
        <v>411</v>
      </c>
      <c r="F3" s="3" t="s">
        <v>412</v>
      </c>
      <c r="G3" s="5" t="s">
        <v>413</v>
      </c>
      <c r="H3" s="3" t="s">
        <v>143</v>
      </c>
      <c r="I3" s="3" t="s">
        <v>19</v>
      </c>
      <c r="J3" s="15">
        <v>11200</v>
      </c>
      <c r="K3" s="4" t="s">
        <v>20</v>
      </c>
      <c r="L3" s="66">
        <v>13416</v>
      </c>
      <c r="M3" s="3" t="s">
        <v>20</v>
      </c>
      <c r="N3" s="66">
        <v>37</v>
      </c>
      <c r="O3" s="3" t="s">
        <v>30</v>
      </c>
      <c r="P3" s="17" t="s">
        <v>553</v>
      </c>
      <c r="Q3" s="15">
        <f>J3-(37*5*52)</f>
        <v>1580</v>
      </c>
      <c r="R3" s="4" t="s">
        <v>20</v>
      </c>
      <c r="S3" s="5" t="s">
        <v>485</v>
      </c>
    </row>
    <row r="4" spans="1:19" s="1" customFormat="1" ht="45" x14ac:dyDescent="0.25">
      <c r="A4" s="4" t="s">
        <v>160</v>
      </c>
      <c r="B4" s="4" t="s">
        <v>161</v>
      </c>
      <c r="C4" s="4" t="s">
        <v>15</v>
      </c>
      <c r="D4" s="4" t="s">
        <v>162</v>
      </c>
      <c r="E4" s="4" t="s">
        <v>163</v>
      </c>
      <c r="F4" s="4" t="s">
        <v>164</v>
      </c>
      <c r="G4" s="9" t="s">
        <v>365</v>
      </c>
      <c r="H4" s="4" t="s">
        <v>112</v>
      </c>
      <c r="I4" s="4" t="s">
        <v>19</v>
      </c>
      <c r="J4" s="15">
        <v>2000</v>
      </c>
      <c r="K4" s="4" t="s">
        <v>542</v>
      </c>
      <c r="L4" s="15">
        <v>2000</v>
      </c>
      <c r="M4" s="4" t="s">
        <v>542</v>
      </c>
      <c r="N4" s="15" t="s">
        <v>76</v>
      </c>
      <c r="O4" s="4"/>
      <c r="P4" s="17" t="s">
        <v>554</v>
      </c>
      <c r="Q4" s="4" t="s">
        <v>76</v>
      </c>
      <c r="R4" s="4"/>
      <c r="S4" s="17" t="s">
        <v>386</v>
      </c>
    </row>
    <row r="5" spans="1:19" s="1" customFormat="1" ht="60" x14ac:dyDescent="0.25">
      <c r="A5" s="4" t="s">
        <v>165</v>
      </c>
      <c r="B5" s="4" t="s">
        <v>166</v>
      </c>
      <c r="C5" s="4" t="s">
        <v>15</v>
      </c>
      <c r="D5" s="4" t="s">
        <v>162</v>
      </c>
      <c r="E5" s="4" t="s">
        <v>167</v>
      </c>
      <c r="F5" s="4" t="s">
        <v>168</v>
      </c>
      <c r="G5" s="9" t="s">
        <v>366</v>
      </c>
      <c r="H5" s="4" t="s">
        <v>112</v>
      </c>
      <c r="I5" s="4" t="s">
        <v>19</v>
      </c>
      <c r="J5" s="15">
        <v>15000</v>
      </c>
      <c r="K5" s="4" t="s">
        <v>20</v>
      </c>
      <c r="L5" s="15">
        <v>15000</v>
      </c>
      <c r="M5" s="4" t="s">
        <v>20</v>
      </c>
      <c r="N5" s="15">
        <v>500</v>
      </c>
      <c r="O5" s="4" t="s">
        <v>487</v>
      </c>
      <c r="P5" s="17" t="s">
        <v>554</v>
      </c>
      <c r="Q5" s="4" t="s">
        <v>76</v>
      </c>
      <c r="R5" s="4"/>
      <c r="S5" s="9" t="s">
        <v>486</v>
      </c>
    </row>
    <row r="6" spans="1:19" ht="60" x14ac:dyDescent="0.25">
      <c r="A6" s="4" t="s">
        <v>407</v>
      </c>
      <c r="B6" s="4" t="s">
        <v>409</v>
      </c>
      <c r="C6" s="4" t="s">
        <v>410</v>
      </c>
      <c r="D6" s="4" t="s">
        <v>162</v>
      </c>
      <c r="E6" s="4" t="s">
        <v>414</v>
      </c>
      <c r="F6" s="4" t="s">
        <v>168</v>
      </c>
      <c r="G6" s="9" t="s">
        <v>415</v>
      </c>
      <c r="H6" s="4" t="s">
        <v>416</v>
      </c>
      <c r="I6" s="4" t="s">
        <v>19</v>
      </c>
      <c r="J6" s="15">
        <v>5200</v>
      </c>
      <c r="K6" s="4" t="s">
        <v>542</v>
      </c>
      <c r="L6" s="15">
        <v>5200</v>
      </c>
      <c r="M6" s="4" t="s">
        <v>20</v>
      </c>
      <c r="N6" s="15" t="s">
        <v>76</v>
      </c>
      <c r="O6" s="4"/>
      <c r="P6" s="17" t="s">
        <v>554</v>
      </c>
      <c r="Q6" s="4">
        <v>0</v>
      </c>
      <c r="R6" s="4" t="s">
        <v>20</v>
      </c>
      <c r="S6" s="9" t="s">
        <v>456</v>
      </c>
    </row>
    <row r="7" spans="1:19" s="1" customFormat="1" ht="45" x14ac:dyDescent="0.25">
      <c r="A7" s="4" t="s">
        <v>169</v>
      </c>
      <c r="B7" s="4" t="s">
        <v>170</v>
      </c>
      <c r="C7" s="4" t="s">
        <v>28</v>
      </c>
      <c r="D7" s="4" t="s">
        <v>162</v>
      </c>
      <c r="E7" s="4" t="s">
        <v>171</v>
      </c>
      <c r="F7" s="4" t="s">
        <v>172</v>
      </c>
      <c r="G7" s="9" t="s">
        <v>367</v>
      </c>
      <c r="H7" s="4" t="s">
        <v>41</v>
      </c>
      <c r="I7" s="4" t="s">
        <v>19</v>
      </c>
      <c r="J7" s="15">
        <v>750</v>
      </c>
      <c r="K7" s="4" t="s">
        <v>542</v>
      </c>
      <c r="L7" s="15">
        <v>750</v>
      </c>
      <c r="M7" s="4" t="s">
        <v>542</v>
      </c>
      <c r="N7" s="15" t="s">
        <v>76</v>
      </c>
      <c r="O7" s="4"/>
      <c r="P7" s="17" t="s">
        <v>554</v>
      </c>
      <c r="Q7" s="4">
        <v>0</v>
      </c>
      <c r="R7" s="4" t="s">
        <v>20</v>
      </c>
      <c r="S7" s="9" t="s">
        <v>455</v>
      </c>
    </row>
    <row r="8" spans="1:19" x14ac:dyDescent="0.25">
      <c r="L8" s="58">
        <f>SUM(L2:L7)</f>
        <v>39034</v>
      </c>
      <c r="N8" s="58"/>
      <c r="P8" s="73"/>
    </row>
    <row r="9" spans="1:19" x14ac:dyDescent="0.25">
      <c r="H9" s="18" t="s">
        <v>540</v>
      </c>
      <c r="I9" s="62" t="s">
        <v>541</v>
      </c>
      <c r="L9" s="58"/>
      <c r="N9" s="58"/>
      <c r="P9" s="74"/>
      <c r="Q9">
        <f>SUM(Q2:Q7)</f>
        <v>1580</v>
      </c>
    </row>
    <row r="10" spans="1:19" x14ac:dyDescent="0.25">
      <c r="G10" s="60" t="s">
        <v>80</v>
      </c>
      <c r="H10" s="58">
        <f>SUM(L6)</f>
        <v>5200</v>
      </c>
      <c r="I10" s="58">
        <f>SUM((L6)-(Q6))</f>
        <v>5200</v>
      </c>
      <c r="N10" s="58"/>
      <c r="P10" s="74"/>
    </row>
    <row r="11" spans="1:19" x14ac:dyDescent="0.25">
      <c r="G11" s="60" t="s">
        <v>138</v>
      </c>
      <c r="H11" s="58">
        <f>SUM(L4+L5)</f>
        <v>17000</v>
      </c>
      <c r="I11" s="58">
        <f>SUM((L4+L5)-(0))</f>
        <v>17000</v>
      </c>
      <c r="N11" s="58"/>
      <c r="P11" s="74"/>
    </row>
    <row r="12" spans="1:19" x14ac:dyDescent="0.25">
      <c r="G12" s="60" t="s">
        <v>538</v>
      </c>
      <c r="H12" s="58">
        <f>SUM(L3)</f>
        <v>13416</v>
      </c>
      <c r="I12" s="58">
        <f>SUM((L3)-(Q3))</f>
        <v>11836</v>
      </c>
      <c r="N12" s="58"/>
      <c r="P12" s="74"/>
    </row>
    <row r="13" spans="1:19" x14ac:dyDescent="0.25">
      <c r="G13" s="60" t="s">
        <v>539</v>
      </c>
      <c r="H13" s="58">
        <f>SUM(L2+L7)</f>
        <v>3418</v>
      </c>
      <c r="I13" s="58">
        <f>SUM((L2+L7)-(Q7))</f>
        <v>3418</v>
      </c>
      <c r="N13" s="58"/>
      <c r="P13" s="74"/>
    </row>
    <row r="14" spans="1:19" x14ac:dyDescent="0.25">
      <c r="G14" s="86" t="s">
        <v>556</v>
      </c>
      <c r="H14" s="84">
        <f>SUM(H10:H13)</f>
        <v>39034</v>
      </c>
      <c r="I14" s="84">
        <f>SUM(I10:I13)</f>
        <v>37454</v>
      </c>
    </row>
    <row r="15" spans="1:19" x14ac:dyDescent="0.25">
      <c r="I15" s="89" t="s">
        <v>557</v>
      </c>
      <c r="J15" s="90">
        <f>SUM(H14-I14)</f>
        <v>1580</v>
      </c>
    </row>
  </sheetData>
  <autoFilter ref="A1:S7"/>
  <sortState ref="A2:R7">
    <sortCondition ref="B2:B7"/>
  </sortState>
  <pageMargins left="0.7" right="0.7" top="0.75" bottom="0.75" header="0.3" footer="0.3"/>
  <pageSetup orientation="portrait" horizontalDpi="1200" verticalDpi="120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4"/>
  <sheetViews>
    <sheetView zoomScale="70" zoomScaleNormal="70" workbookViewId="0">
      <pane xSplit="2" ySplit="1" topLeftCell="C5" activePane="bottomRight" state="frozen"/>
      <selection pane="topRight" activeCell="C1" sqref="C1"/>
      <selection pane="bottomLeft" activeCell="A2" sqref="A2"/>
      <selection pane="bottomRight" activeCell="G6" sqref="G6"/>
    </sheetView>
  </sheetViews>
  <sheetFormatPr defaultRowHeight="15" x14ac:dyDescent="0.25"/>
  <cols>
    <col min="1" max="1" width="13.42578125" bestFit="1" customWidth="1"/>
    <col min="2" max="2" width="39.28515625" bestFit="1" customWidth="1"/>
    <col min="3" max="3" width="32.7109375" bestFit="1" customWidth="1"/>
    <col min="4" max="4" width="11" bestFit="1" customWidth="1"/>
    <col min="5" max="5" width="35" bestFit="1" customWidth="1"/>
    <col min="6" max="6" width="12" bestFit="1" customWidth="1"/>
    <col min="7" max="7" width="44.7109375" customWidth="1"/>
    <col min="8" max="8" width="25.140625" bestFit="1" customWidth="1"/>
    <col min="9" max="9" width="17.7109375" bestFit="1" customWidth="1"/>
    <col min="10" max="10" width="20.7109375" style="6" customWidth="1"/>
    <col min="11" max="11" width="21.5703125" bestFit="1" customWidth="1"/>
    <col min="12" max="12" width="15" bestFit="1" customWidth="1"/>
    <col min="13" max="13" width="21.5703125" bestFit="1" customWidth="1"/>
    <col min="14" max="14" width="19.42578125" customWidth="1"/>
    <col min="15" max="15" width="9.85546875" bestFit="1" customWidth="1"/>
    <col min="16" max="16" width="10.7109375" style="72" customWidth="1"/>
    <col min="17" max="17" width="21.85546875" bestFit="1" customWidth="1"/>
    <col min="18" max="18" width="9.85546875" bestFit="1" customWidth="1"/>
    <col min="19" max="19" width="48" customWidth="1"/>
  </cols>
  <sheetData>
    <row r="1" spans="1:19" s="2" customFormat="1" ht="45" x14ac:dyDescent="0.25">
      <c r="A1" s="77" t="s">
        <v>0</v>
      </c>
      <c r="B1" s="77" t="s">
        <v>1</v>
      </c>
      <c r="C1" s="77" t="s">
        <v>2</v>
      </c>
      <c r="D1" s="77" t="s">
        <v>3</v>
      </c>
      <c r="E1" s="77" t="s">
        <v>4</v>
      </c>
      <c r="F1" s="77" t="s">
        <v>5</v>
      </c>
      <c r="G1" s="77" t="s">
        <v>6</v>
      </c>
      <c r="H1" s="77" t="s">
        <v>7</v>
      </c>
      <c r="I1" s="77" t="s">
        <v>8</v>
      </c>
      <c r="J1" s="78" t="s">
        <v>519</v>
      </c>
      <c r="K1" s="77" t="s">
        <v>9</v>
      </c>
      <c r="L1" s="77" t="s">
        <v>10</v>
      </c>
      <c r="M1" s="77" t="s">
        <v>9</v>
      </c>
      <c r="N1" s="78" t="s">
        <v>520</v>
      </c>
      <c r="O1" s="77" t="s">
        <v>9</v>
      </c>
      <c r="P1" s="70" t="s">
        <v>552</v>
      </c>
      <c r="Q1" s="70" t="s">
        <v>555</v>
      </c>
      <c r="R1" s="77" t="s">
        <v>9</v>
      </c>
      <c r="S1" s="77" t="s">
        <v>12</v>
      </c>
    </row>
    <row r="2" spans="1:19" s="1" customFormat="1" ht="195" x14ac:dyDescent="0.25">
      <c r="A2" s="4" t="s">
        <v>107</v>
      </c>
      <c r="B2" s="4" t="s">
        <v>108</v>
      </c>
      <c r="C2" s="4" t="s">
        <v>109</v>
      </c>
      <c r="D2" s="4" t="s">
        <v>110</v>
      </c>
      <c r="E2" s="4" t="s">
        <v>376</v>
      </c>
      <c r="F2" s="4" t="s">
        <v>111</v>
      </c>
      <c r="G2" s="9" t="s">
        <v>350</v>
      </c>
      <c r="H2" s="4" t="s">
        <v>112</v>
      </c>
      <c r="I2" s="4" t="s">
        <v>19</v>
      </c>
      <c r="J2" s="63">
        <v>19500</v>
      </c>
      <c r="K2" s="4" t="s">
        <v>20</v>
      </c>
      <c r="L2" s="15">
        <v>19500</v>
      </c>
      <c r="M2" s="4" t="s">
        <v>549</v>
      </c>
      <c r="N2" s="4" t="s">
        <v>76</v>
      </c>
      <c r="O2" s="4"/>
      <c r="P2" s="17" t="s">
        <v>554</v>
      </c>
      <c r="Q2" s="4">
        <v>0</v>
      </c>
      <c r="R2" s="4"/>
      <c r="S2" s="16" t="s">
        <v>492</v>
      </c>
    </row>
    <row r="3" spans="1:19" s="1" customFormat="1" ht="150" x14ac:dyDescent="0.25">
      <c r="A3" s="4" t="s">
        <v>123</v>
      </c>
      <c r="B3" s="4" t="s">
        <v>124</v>
      </c>
      <c r="C3" s="4" t="s">
        <v>109</v>
      </c>
      <c r="D3" s="4" t="s">
        <v>125</v>
      </c>
      <c r="E3" s="4" t="s">
        <v>126</v>
      </c>
      <c r="F3" s="4" t="s">
        <v>119</v>
      </c>
      <c r="G3" s="9" t="s">
        <v>354</v>
      </c>
      <c r="H3" s="4" t="s">
        <v>112</v>
      </c>
      <c r="I3" s="4" t="s">
        <v>19</v>
      </c>
      <c r="J3" s="15">
        <v>1562</v>
      </c>
      <c r="K3" s="4" t="s">
        <v>542</v>
      </c>
      <c r="L3" s="15">
        <v>1562</v>
      </c>
      <c r="M3" s="4" t="s">
        <v>542</v>
      </c>
      <c r="N3" s="4" t="s">
        <v>76</v>
      </c>
      <c r="O3" s="4"/>
      <c r="P3" s="17" t="s">
        <v>554</v>
      </c>
      <c r="Q3" s="4">
        <v>0</v>
      </c>
      <c r="R3" s="4" t="s">
        <v>20</v>
      </c>
      <c r="S3" s="16" t="s">
        <v>530</v>
      </c>
    </row>
    <row r="4" spans="1:19" s="1" customFormat="1" ht="135" x14ac:dyDescent="0.25">
      <c r="A4" s="4" t="s">
        <v>113</v>
      </c>
      <c r="B4" s="4" t="s">
        <v>114</v>
      </c>
      <c r="C4" s="4" t="s">
        <v>109</v>
      </c>
      <c r="D4" s="4" t="s">
        <v>110</v>
      </c>
      <c r="E4" s="4" t="s">
        <v>115</v>
      </c>
      <c r="F4" s="4" t="s">
        <v>110</v>
      </c>
      <c r="G4" s="9" t="s">
        <v>351</v>
      </c>
      <c r="H4" s="4" t="s">
        <v>112</v>
      </c>
      <c r="I4" s="4" t="s">
        <v>19</v>
      </c>
      <c r="J4" s="63">
        <v>1562</v>
      </c>
      <c r="K4" s="4" t="s">
        <v>550</v>
      </c>
      <c r="L4" s="15">
        <v>1562</v>
      </c>
      <c r="M4" s="4" t="s">
        <v>20</v>
      </c>
      <c r="N4" s="4" t="s">
        <v>76</v>
      </c>
      <c r="O4" s="4"/>
      <c r="P4" s="17" t="s">
        <v>554</v>
      </c>
      <c r="Q4" s="4" t="s">
        <v>463</v>
      </c>
      <c r="R4" s="4"/>
      <c r="S4" s="16" t="s">
        <v>535</v>
      </c>
    </row>
    <row r="5" spans="1:19" s="1" customFormat="1" ht="75" x14ac:dyDescent="0.25">
      <c r="A5" s="4" t="s">
        <v>116</v>
      </c>
      <c r="B5" s="4" t="s">
        <v>117</v>
      </c>
      <c r="C5" s="4" t="s">
        <v>28</v>
      </c>
      <c r="D5" s="4" t="s">
        <v>110</v>
      </c>
      <c r="E5" s="4" t="s">
        <v>118</v>
      </c>
      <c r="F5" s="4" t="s">
        <v>119</v>
      </c>
      <c r="G5" s="9" t="s">
        <v>352</v>
      </c>
      <c r="H5" s="4" t="s">
        <v>41</v>
      </c>
      <c r="I5" s="4" t="s">
        <v>19</v>
      </c>
      <c r="J5" s="63">
        <v>292500</v>
      </c>
      <c r="K5" s="4" t="s">
        <v>542</v>
      </c>
      <c r="L5" s="15">
        <v>58500</v>
      </c>
      <c r="M5" s="4" t="s">
        <v>542</v>
      </c>
      <c r="N5" s="4" t="s">
        <v>76</v>
      </c>
      <c r="O5" s="4"/>
      <c r="P5" s="17" t="s">
        <v>554</v>
      </c>
      <c r="Q5" s="4">
        <v>0</v>
      </c>
      <c r="R5" s="4" t="s">
        <v>20</v>
      </c>
      <c r="S5" s="9" t="s">
        <v>491</v>
      </c>
    </row>
    <row r="6" spans="1:19" s="1" customFormat="1" ht="60" x14ac:dyDescent="0.25">
      <c r="A6" s="4" t="s">
        <v>120</v>
      </c>
      <c r="B6" s="4" t="s">
        <v>121</v>
      </c>
      <c r="C6" s="4" t="s">
        <v>28</v>
      </c>
      <c r="D6" s="4" t="s">
        <v>110</v>
      </c>
      <c r="E6" s="4" t="s">
        <v>122</v>
      </c>
      <c r="F6" s="4" t="s">
        <v>110</v>
      </c>
      <c r="G6" s="9" t="s">
        <v>353</v>
      </c>
      <c r="H6" s="4" t="s">
        <v>93</v>
      </c>
      <c r="I6" s="4" t="s">
        <v>19</v>
      </c>
      <c r="J6" s="63">
        <v>728</v>
      </c>
      <c r="K6" s="4" t="s">
        <v>542</v>
      </c>
      <c r="L6" s="15">
        <v>750</v>
      </c>
      <c r="M6" s="4" t="s">
        <v>20</v>
      </c>
      <c r="N6" s="4" t="s">
        <v>76</v>
      </c>
      <c r="O6" s="4"/>
      <c r="P6" s="17" t="s">
        <v>554</v>
      </c>
      <c r="Q6" s="21" t="s">
        <v>463</v>
      </c>
      <c r="R6" s="4"/>
      <c r="S6" s="9" t="s">
        <v>509</v>
      </c>
    </row>
    <row r="7" spans="1:19" x14ac:dyDescent="0.25">
      <c r="L7" s="58">
        <f>SUM(L2:L6)</f>
        <v>81874</v>
      </c>
      <c r="P7" s="73"/>
      <c r="Q7" s="91">
        <v>0</v>
      </c>
    </row>
    <row r="8" spans="1:19" x14ac:dyDescent="0.25">
      <c r="H8" s="18" t="s">
        <v>540</v>
      </c>
      <c r="I8" s="62" t="s">
        <v>541</v>
      </c>
      <c r="L8" s="58"/>
      <c r="P8" s="74"/>
    </row>
    <row r="9" spans="1:19" x14ac:dyDescent="0.25">
      <c r="G9" s="60" t="s">
        <v>80</v>
      </c>
      <c r="H9" s="58">
        <v>0</v>
      </c>
      <c r="I9" s="58">
        <v>0</v>
      </c>
      <c r="P9" s="74"/>
    </row>
    <row r="10" spans="1:19" x14ac:dyDescent="0.25">
      <c r="G10" s="60" t="s">
        <v>138</v>
      </c>
      <c r="H10" s="58">
        <f>SUM(L2+L3+L4+L6)</f>
        <v>23374</v>
      </c>
      <c r="I10" s="58">
        <f>SUM((L2+L3+L4+L6)-(Q2+Q3))</f>
        <v>23374</v>
      </c>
      <c r="P10" s="74"/>
    </row>
    <row r="11" spans="1:19" x14ac:dyDescent="0.25">
      <c r="G11" s="60" t="s">
        <v>538</v>
      </c>
      <c r="H11" s="58">
        <v>0</v>
      </c>
      <c r="I11" s="58">
        <v>0</v>
      </c>
      <c r="P11" s="74"/>
    </row>
    <row r="12" spans="1:19" x14ac:dyDescent="0.25">
      <c r="G12" s="60" t="s">
        <v>539</v>
      </c>
      <c r="H12" s="58">
        <f>SUM(L5)</f>
        <v>58500</v>
      </c>
      <c r="I12" s="58">
        <f>SUM((L5)-(Q5))</f>
        <v>58500</v>
      </c>
      <c r="P12" s="74"/>
    </row>
    <row r="13" spans="1:19" x14ac:dyDescent="0.25">
      <c r="G13" s="86" t="s">
        <v>556</v>
      </c>
      <c r="H13" s="84">
        <f>SUM(H9:H12)</f>
        <v>81874</v>
      </c>
      <c r="I13" s="84">
        <f>SUM(I9:I12)</f>
        <v>81874</v>
      </c>
      <c r="P13" s="74"/>
    </row>
    <row r="14" spans="1:19" x14ac:dyDescent="0.25">
      <c r="I14" s="89" t="s">
        <v>557</v>
      </c>
      <c r="J14" s="90">
        <f>SUM(H13-I13)</f>
        <v>0</v>
      </c>
    </row>
  </sheetData>
  <autoFilter ref="A1:S6"/>
  <sortState ref="A2:R6">
    <sortCondition ref="B2:B6"/>
  </sortState>
  <pageMargins left="0.7" right="0.7" top="0.75" bottom="0.75" header="0.3" footer="0.3"/>
  <pageSetup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pane ySplit="1" topLeftCell="A4" activePane="bottomLeft" state="frozen"/>
      <selection pane="bottomLeft" activeCell="G7" sqref="G7"/>
    </sheetView>
  </sheetViews>
  <sheetFormatPr defaultRowHeight="15" x14ac:dyDescent="0.25"/>
  <cols>
    <col min="1" max="1" width="13.28515625" customWidth="1"/>
    <col min="2" max="2" width="15" customWidth="1"/>
    <col min="3" max="3" width="19" customWidth="1"/>
    <col min="5" max="5" width="13.85546875" style="6" customWidth="1"/>
    <col min="6" max="6" width="11.85546875" customWidth="1"/>
    <col min="7" max="7" width="14" customWidth="1"/>
    <col min="8" max="8" width="13.28515625" customWidth="1"/>
    <col min="9" max="9" width="12.7109375" customWidth="1"/>
    <col min="10" max="10" width="14.85546875" customWidth="1"/>
    <col min="11" max="11" width="12.42578125" customWidth="1"/>
    <col min="13" max="13" width="11" customWidth="1"/>
    <col min="14" max="14" width="13.42578125" customWidth="1"/>
    <col min="15" max="15" width="10.85546875" customWidth="1"/>
    <col min="16" max="16" width="10.28515625" customWidth="1"/>
    <col min="17" max="17" width="17" customWidth="1"/>
    <col min="18" max="18" width="11.140625" customWidth="1"/>
    <col min="19" max="19" width="20.85546875" customWidth="1"/>
  </cols>
  <sheetData>
    <row r="1" spans="1:19" s="62" customFormat="1" ht="60" x14ac:dyDescent="0.25">
      <c r="A1" s="78" t="s">
        <v>0</v>
      </c>
      <c r="B1" s="78" t="s">
        <v>1</v>
      </c>
      <c r="C1" s="78" t="s">
        <v>2</v>
      </c>
      <c r="D1" s="78" t="s">
        <v>3</v>
      </c>
      <c r="E1" s="78" t="s">
        <v>4</v>
      </c>
      <c r="F1" s="78" t="s">
        <v>5</v>
      </c>
      <c r="G1" s="78" t="s">
        <v>6</v>
      </c>
      <c r="H1" s="78" t="s">
        <v>7</v>
      </c>
      <c r="I1" s="78" t="s">
        <v>8</v>
      </c>
      <c r="J1" s="78" t="s">
        <v>519</v>
      </c>
      <c r="K1" s="78" t="s">
        <v>9</v>
      </c>
      <c r="L1" s="78" t="s">
        <v>10</v>
      </c>
      <c r="M1" s="78" t="s">
        <v>9</v>
      </c>
      <c r="N1" s="78" t="s">
        <v>520</v>
      </c>
      <c r="O1" s="78" t="s">
        <v>9</v>
      </c>
      <c r="P1" s="70" t="s">
        <v>552</v>
      </c>
      <c r="Q1" s="70" t="s">
        <v>555</v>
      </c>
      <c r="R1" s="78" t="s">
        <v>9</v>
      </c>
      <c r="S1" s="78" t="s">
        <v>12</v>
      </c>
    </row>
    <row r="2" spans="1:19" s="1" customFormat="1" ht="105" x14ac:dyDescent="0.25">
      <c r="A2" s="129" t="s">
        <v>723</v>
      </c>
      <c r="B2" s="17" t="s">
        <v>724</v>
      </c>
      <c r="C2" s="17" t="s">
        <v>725</v>
      </c>
      <c r="D2" s="128" t="s">
        <v>726</v>
      </c>
      <c r="E2" s="17" t="s">
        <v>727</v>
      </c>
      <c r="F2" s="128" t="s">
        <v>728</v>
      </c>
      <c r="G2" s="17" t="s">
        <v>729</v>
      </c>
      <c r="H2" s="17" t="s">
        <v>730</v>
      </c>
      <c r="I2" s="122" t="s">
        <v>19</v>
      </c>
      <c r="J2" s="123">
        <v>410</v>
      </c>
      <c r="K2" s="125" t="s">
        <v>568</v>
      </c>
      <c r="L2" s="132">
        <v>3850</v>
      </c>
      <c r="M2" s="123" t="s">
        <v>20</v>
      </c>
      <c r="N2" s="124">
        <v>25000</v>
      </c>
      <c r="O2" s="123" t="s">
        <v>20</v>
      </c>
      <c r="P2" s="123" t="s">
        <v>764</v>
      </c>
      <c r="Q2" s="125">
        <v>0</v>
      </c>
      <c r="R2" s="123" t="s">
        <v>20</v>
      </c>
      <c r="S2" s="9"/>
    </row>
    <row r="3" spans="1:19" s="1" customFormat="1" ht="45" customHeight="1" x14ac:dyDescent="0.25">
      <c r="A3" s="4" t="s">
        <v>731</v>
      </c>
      <c r="B3" s="9" t="s">
        <v>732</v>
      </c>
      <c r="C3" s="131" t="s">
        <v>28</v>
      </c>
      <c r="D3" s="122" t="s">
        <v>726</v>
      </c>
      <c r="E3" s="9" t="s">
        <v>733</v>
      </c>
      <c r="F3" s="122" t="s">
        <v>728</v>
      </c>
      <c r="G3" s="17" t="s">
        <v>734</v>
      </c>
      <c r="H3" s="17" t="s">
        <v>735</v>
      </c>
      <c r="I3" s="122" t="s">
        <v>19</v>
      </c>
      <c r="J3" s="132">
        <v>2000</v>
      </c>
      <c r="K3" s="123" t="s">
        <v>736</v>
      </c>
      <c r="L3" s="132">
        <v>1000</v>
      </c>
      <c r="M3" s="123" t="s">
        <v>20</v>
      </c>
      <c r="N3" s="124">
        <v>1000</v>
      </c>
      <c r="O3" s="123" t="s">
        <v>20</v>
      </c>
      <c r="P3" s="123" t="s">
        <v>764</v>
      </c>
      <c r="Q3" s="125">
        <v>0</v>
      </c>
      <c r="R3" s="123" t="s">
        <v>20</v>
      </c>
      <c r="S3" s="9"/>
    </row>
    <row r="4" spans="1:19" s="1" customFormat="1" ht="49.5" customHeight="1" x14ac:dyDescent="0.25">
      <c r="A4" s="129" t="s">
        <v>737</v>
      </c>
      <c r="B4" s="17" t="s">
        <v>738</v>
      </c>
      <c r="C4" s="9" t="s">
        <v>739</v>
      </c>
      <c r="D4" s="128" t="s">
        <v>726</v>
      </c>
      <c r="E4" s="17" t="s">
        <v>740</v>
      </c>
      <c r="F4" s="128" t="s">
        <v>741</v>
      </c>
      <c r="G4" s="17" t="s">
        <v>742</v>
      </c>
      <c r="H4" s="17" t="s">
        <v>112</v>
      </c>
      <c r="I4" s="122" t="s">
        <v>19</v>
      </c>
      <c r="J4" s="123">
        <v>200</v>
      </c>
      <c r="K4" s="125" t="s">
        <v>568</v>
      </c>
      <c r="L4" s="132">
        <v>6250</v>
      </c>
      <c r="M4" s="123" t="s">
        <v>20</v>
      </c>
      <c r="N4" s="124" t="s">
        <v>61</v>
      </c>
      <c r="O4" s="125" t="s">
        <v>61</v>
      </c>
      <c r="P4" s="125" t="s">
        <v>764</v>
      </c>
      <c r="Q4" s="125">
        <v>0</v>
      </c>
      <c r="R4" s="125" t="s">
        <v>61</v>
      </c>
      <c r="S4" s="9" t="s">
        <v>575</v>
      </c>
    </row>
    <row r="5" spans="1:19" ht="53.25" customHeight="1" x14ac:dyDescent="0.25">
      <c r="A5" s="129" t="s">
        <v>743</v>
      </c>
      <c r="B5" s="17" t="s">
        <v>744</v>
      </c>
      <c r="C5" s="17" t="s">
        <v>15</v>
      </c>
      <c r="D5" s="128" t="s">
        <v>726</v>
      </c>
      <c r="E5" s="17" t="s">
        <v>745</v>
      </c>
      <c r="F5" s="128" t="s">
        <v>728</v>
      </c>
      <c r="G5" s="17" t="s">
        <v>746</v>
      </c>
      <c r="H5" s="17" t="s">
        <v>747</v>
      </c>
      <c r="I5" s="128" t="s">
        <v>19</v>
      </c>
      <c r="J5" s="132">
        <v>1500</v>
      </c>
      <c r="K5" s="123" t="s">
        <v>71</v>
      </c>
      <c r="L5" s="132">
        <v>18000</v>
      </c>
      <c r="M5" s="123" t="s">
        <v>20</v>
      </c>
      <c r="N5" s="124">
        <v>18000</v>
      </c>
      <c r="O5" s="123" t="s">
        <v>20</v>
      </c>
      <c r="P5" s="123" t="s">
        <v>764</v>
      </c>
      <c r="Q5" s="124">
        <v>0</v>
      </c>
      <c r="R5" s="123" t="s">
        <v>20</v>
      </c>
      <c r="S5" s="9" t="s">
        <v>582</v>
      </c>
    </row>
    <row r="6" spans="1:19" ht="55.5" customHeight="1" x14ac:dyDescent="0.25">
      <c r="A6" s="129" t="s">
        <v>748</v>
      </c>
      <c r="B6" s="17" t="s">
        <v>749</v>
      </c>
      <c r="C6" s="131" t="s">
        <v>28</v>
      </c>
      <c r="D6" s="128" t="s">
        <v>726</v>
      </c>
      <c r="E6" s="17" t="s">
        <v>750</v>
      </c>
      <c r="F6" s="128" t="s">
        <v>751</v>
      </c>
      <c r="G6" s="17" t="s">
        <v>752</v>
      </c>
      <c r="H6" s="17" t="s">
        <v>93</v>
      </c>
      <c r="I6" s="122" t="s">
        <v>19</v>
      </c>
      <c r="J6" s="123">
        <v>500</v>
      </c>
      <c r="K6" s="125" t="s">
        <v>568</v>
      </c>
      <c r="L6" s="132">
        <v>6250</v>
      </c>
      <c r="M6" s="123" t="s">
        <v>20</v>
      </c>
      <c r="N6" s="124">
        <v>6250</v>
      </c>
      <c r="O6" s="123" t="s">
        <v>20</v>
      </c>
      <c r="P6" s="123" t="s">
        <v>764</v>
      </c>
      <c r="Q6" s="125">
        <v>0</v>
      </c>
      <c r="R6" s="123" t="s">
        <v>20</v>
      </c>
      <c r="S6" s="9" t="s">
        <v>582</v>
      </c>
    </row>
    <row r="7" spans="1:19" ht="62.25" customHeight="1" x14ac:dyDescent="0.25">
      <c r="A7" s="129" t="s">
        <v>753</v>
      </c>
      <c r="B7" s="17" t="s">
        <v>754</v>
      </c>
      <c r="C7" s="131" t="s">
        <v>28</v>
      </c>
      <c r="D7" s="128" t="s">
        <v>726</v>
      </c>
      <c r="E7" s="17" t="s">
        <v>755</v>
      </c>
      <c r="F7" s="128" t="s">
        <v>728</v>
      </c>
      <c r="G7" s="17" t="s">
        <v>756</v>
      </c>
      <c r="H7" s="17" t="s">
        <v>29</v>
      </c>
      <c r="I7" s="122" t="s">
        <v>19</v>
      </c>
      <c r="J7" s="123">
        <v>690</v>
      </c>
      <c r="K7" s="125" t="s">
        <v>568</v>
      </c>
      <c r="L7" s="132">
        <v>11250</v>
      </c>
      <c r="M7" s="123" t="s">
        <v>20</v>
      </c>
      <c r="N7" s="124">
        <v>11250</v>
      </c>
      <c r="O7" s="125" t="s">
        <v>20</v>
      </c>
      <c r="P7" s="125" t="s">
        <v>764</v>
      </c>
      <c r="Q7" s="125">
        <v>0</v>
      </c>
      <c r="R7" s="125" t="s">
        <v>20</v>
      </c>
      <c r="S7" s="9" t="s">
        <v>757</v>
      </c>
    </row>
    <row r="8" spans="1:19" ht="74.25" customHeight="1" x14ac:dyDescent="0.25">
      <c r="A8" s="129" t="s">
        <v>758</v>
      </c>
      <c r="B8" s="17" t="s">
        <v>759</v>
      </c>
      <c r="C8" s="131" t="s">
        <v>28</v>
      </c>
      <c r="D8" s="128" t="s">
        <v>726</v>
      </c>
      <c r="E8" s="17" t="s">
        <v>760</v>
      </c>
      <c r="F8" s="128" t="s">
        <v>751</v>
      </c>
      <c r="G8" s="17" t="s">
        <v>761</v>
      </c>
      <c r="H8" s="17" t="s">
        <v>762</v>
      </c>
      <c r="I8" s="122" t="s">
        <v>19</v>
      </c>
      <c r="J8" s="123">
        <v>200</v>
      </c>
      <c r="K8" s="125" t="s">
        <v>568</v>
      </c>
      <c r="L8" s="132">
        <v>750</v>
      </c>
      <c r="M8" s="123" t="s">
        <v>20</v>
      </c>
      <c r="N8" s="124">
        <v>750</v>
      </c>
      <c r="O8" s="123" t="s">
        <v>20</v>
      </c>
      <c r="P8" s="123" t="s">
        <v>764</v>
      </c>
      <c r="Q8" s="139">
        <v>0</v>
      </c>
      <c r="R8" s="123" t="s">
        <v>20</v>
      </c>
      <c r="S8" s="9" t="s">
        <v>582</v>
      </c>
    </row>
    <row r="9" spans="1:19" x14ac:dyDescent="0.25">
      <c r="L9" s="143">
        <f>SUM(L2:L8)</f>
        <v>47350</v>
      </c>
      <c r="Q9" s="50">
        <f>SUM(Q2:Q8)</f>
        <v>0</v>
      </c>
    </row>
    <row r="10" spans="1:19" ht="30" x14ac:dyDescent="0.25">
      <c r="I10" s="83" t="s">
        <v>540</v>
      </c>
      <c r="J10" s="62" t="s">
        <v>541</v>
      </c>
      <c r="L10" s="1"/>
    </row>
    <row r="11" spans="1:19" x14ac:dyDescent="0.25">
      <c r="H11" s="60" t="s">
        <v>80</v>
      </c>
      <c r="I11" s="58">
        <v>0</v>
      </c>
      <c r="J11" s="58">
        <v>0</v>
      </c>
      <c r="L11" s="1"/>
    </row>
    <row r="12" spans="1:19" x14ac:dyDescent="0.25">
      <c r="H12" s="60" t="s">
        <v>138</v>
      </c>
      <c r="I12" s="58">
        <f>SUM(L4+L6+L7)</f>
        <v>23750</v>
      </c>
      <c r="J12" s="58">
        <f>SUM((L4+L6+L7)-(Q4+Q6+Q7))</f>
        <v>23750</v>
      </c>
      <c r="L12" s="1"/>
    </row>
    <row r="13" spans="1:19" x14ac:dyDescent="0.25">
      <c r="H13" s="60" t="s">
        <v>538</v>
      </c>
      <c r="I13" s="58">
        <v>0</v>
      </c>
      <c r="J13" s="58">
        <v>0</v>
      </c>
      <c r="L13" s="1"/>
    </row>
    <row r="14" spans="1:19" x14ac:dyDescent="0.25">
      <c r="H14" s="60" t="s">
        <v>539</v>
      </c>
      <c r="I14" s="58">
        <f>SUM(L2+L3+L5+L8)</f>
        <v>23600</v>
      </c>
      <c r="J14" s="58">
        <f>SUM((L2+L3+L5+L8)-(Q5+Q8))</f>
        <v>23600</v>
      </c>
      <c r="L14" s="1"/>
    </row>
    <row r="15" spans="1:19" x14ac:dyDescent="0.25">
      <c r="H15" s="85" t="s">
        <v>556</v>
      </c>
      <c r="I15" s="84">
        <f>SUM(I11:I14)</f>
        <v>47350</v>
      </c>
      <c r="J15" s="82">
        <f>SUM(J11:J14)</f>
        <v>47350</v>
      </c>
      <c r="L15" s="1"/>
    </row>
    <row r="16" spans="1:19" ht="30" x14ac:dyDescent="0.25">
      <c r="J16" s="89" t="s">
        <v>557</v>
      </c>
      <c r="K16" s="90">
        <f>SUM(I15-J15)</f>
        <v>0</v>
      </c>
      <c r="L16" s="1"/>
    </row>
  </sheetData>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
  <sheetViews>
    <sheetView zoomScale="80" zoomScaleNormal="80" workbookViewId="0">
      <pane xSplit="2" ySplit="1" topLeftCell="O10" activePane="bottomRight" state="frozen"/>
      <selection pane="topRight" activeCell="C1" sqref="C1"/>
      <selection pane="bottomLeft" activeCell="A2" sqref="A2"/>
      <selection pane="bottomRight" activeCell="S11" sqref="S11"/>
    </sheetView>
  </sheetViews>
  <sheetFormatPr defaultRowHeight="15" x14ac:dyDescent="0.25"/>
  <cols>
    <col min="1" max="1" width="13.7109375" customWidth="1"/>
    <col min="2" max="2" width="41" bestFit="1" customWidth="1"/>
    <col min="3" max="3" width="38.42578125" bestFit="1" customWidth="1"/>
    <col min="4" max="4" width="10.28515625" bestFit="1" customWidth="1"/>
    <col min="5" max="5" width="20.28515625" bestFit="1" customWidth="1"/>
    <col min="6" max="6" width="9.85546875" bestFit="1" customWidth="1"/>
    <col min="7" max="7" width="40.42578125" style="6" bestFit="1" customWidth="1"/>
    <col min="8" max="8" width="33.42578125" style="6" customWidth="1"/>
    <col min="9" max="9" width="13" customWidth="1"/>
    <col min="10" max="10" width="19.5703125" customWidth="1"/>
    <col min="11" max="11" width="20.7109375" bestFit="1" customWidth="1"/>
    <col min="12" max="12" width="17.42578125" bestFit="1" customWidth="1"/>
    <col min="13" max="13" width="20.7109375" bestFit="1" customWidth="1"/>
    <col min="14" max="14" width="20" customWidth="1"/>
    <col min="15" max="15" width="11.85546875" bestFit="1" customWidth="1"/>
    <col min="16" max="16" width="10.7109375" style="72" customWidth="1"/>
    <col min="17" max="17" width="21.85546875" bestFit="1" customWidth="1"/>
    <col min="18" max="18" width="11.28515625" customWidth="1"/>
    <col min="19" max="19" width="71.42578125" style="6" customWidth="1"/>
  </cols>
  <sheetData>
    <row r="1" spans="1:19" s="2" customFormat="1" ht="45" x14ac:dyDescent="0.25">
      <c r="A1" s="77" t="s">
        <v>0</v>
      </c>
      <c r="B1" s="77" t="s">
        <v>1</v>
      </c>
      <c r="C1" s="77" t="s">
        <v>2</v>
      </c>
      <c r="D1" s="77" t="s">
        <v>3</v>
      </c>
      <c r="E1" s="77" t="s">
        <v>4</v>
      </c>
      <c r="F1" s="77" t="s">
        <v>5</v>
      </c>
      <c r="G1" s="78" t="s">
        <v>6</v>
      </c>
      <c r="H1" s="78" t="s">
        <v>7</v>
      </c>
      <c r="I1" s="78" t="s">
        <v>8</v>
      </c>
      <c r="J1" s="78" t="s">
        <v>519</v>
      </c>
      <c r="K1" s="77" t="s">
        <v>9</v>
      </c>
      <c r="L1" s="77" t="s">
        <v>10</v>
      </c>
      <c r="M1" s="77" t="s">
        <v>9</v>
      </c>
      <c r="N1" s="78" t="s">
        <v>520</v>
      </c>
      <c r="O1" s="77" t="s">
        <v>9</v>
      </c>
      <c r="P1" s="70" t="s">
        <v>552</v>
      </c>
      <c r="Q1" s="70" t="s">
        <v>555</v>
      </c>
      <c r="R1" s="77" t="s">
        <v>9</v>
      </c>
      <c r="S1" s="78" t="s">
        <v>12</v>
      </c>
    </row>
    <row r="2" spans="1:19" s="1" customFormat="1" ht="45" x14ac:dyDescent="0.25">
      <c r="A2" s="4" t="s">
        <v>144</v>
      </c>
      <c r="B2" s="4" t="s">
        <v>145</v>
      </c>
      <c r="C2" s="4" t="s">
        <v>28</v>
      </c>
      <c r="D2" s="4" t="s">
        <v>129</v>
      </c>
      <c r="E2" s="4" t="s">
        <v>146</v>
      </c>
      <c r="F2" s="4" t="s">
        <v>147</v>
      </c>
      <c r="G2" s="9" t="s">
        <v>359</v>
      </c>
      <c r="H2" s="9" t="s">
        <v>148</v>
      </c>
      <c r="I2" s="4" t="s">
        <v>19</v>
      </c>
      <c r="J2" s="15">
        <v>1562.5</v>
      </c>
      <c r="K2" s="4" t="s">
        <v>542</v>
      </c>
      <c r="L2" s="15">
        <v>3990</v>
      </c>
      <c r="M2" s="4" t="s">
        <v>542</v>
      </c>
      <c r="N2" s="4" t="s">
        <v>76</v>
      </c>
      <c r="O2" s="4"/>
      <c r="P2" s="17" t="s">
        <v>554</v>
      </c>
      <c r="Q2" s="15">
        <v>0</v>
      </c>
      <c r="R2" s="4" t="s">
        <v>20</v>
      </c>
      <c r="S2" s="16" t="s">
        <v>444</v>
      </c>
    </row>
    <row r="3" spans="1:19" s="1" customFormat="1" ht="75" x14ac:dyDescent="0.25">
      <c r="A3" s="20" t="s">
        <v>149</v>
      </c>
      <c r="B3" s="20" t="s">
        <v>150</v>
      </c>
      <c r="C3" s="20" t="s">
        <v>33</v>
      </c>
      <c r="D3" s="20" t="s">
        <v>129</v>
      </c>
      <c r="E3" s="20" t="s">
        <v>151</v>
      </c>
      <c r="F3" s="20" t="s">
        <v>142</v>
      </c>
      <c r="G3" s="16" t="s">
        <v>360</v>
      </c>
      <c r="H3" s="16" t="s">
        <v>138</v>
      </c>
      <c r="I3" s="20" t="s">
        <v>19</v>
      </c>
      <c r="J3" s="65">
        <v>60000</v>
      </c>
      <c r="K3" s="20" t="s">
        <v>20</v>
      </c>
      <c r="L3" s="65">
        <v>60000</v>
      </c>
      <c r="M3" s="20" t="s">
        <v>20</v>
      </c>
      <c r="N3" s="65" t="s">
        <v>504</v>
      </c>
      <c r="O3" s="20" t="s">
        <v>71</v>
      </c>
      <c r="P3" s="17" t="s">
        <v>554</v>
      </c>
      <c r="Q3" s="65" t="s">
        <v>76</v>
      </c>
      <c r="R3" s="20"/>
      <c r="S3" s="16" t="s">
        <v>445</v>
      </c>
    </row>
    <row r="4" spans="1:19" s="1" customFormat="1" ht="60" x14ac:dyDescent="0.25">
      <c r="A4" s="4" t="s">
        <v>152</v>
      </c>
      <c r="B4" s="4" t="s">
        <v>153</v>
      </c>
      <c r="C4" s="4" t="s">
        <v>33</v>
      </c>
      <c r="D4" s="4" t="s">
        <v>129</v>
      </c>
      <c r="E4" s="4" t="s">
        <v>154</v>
      </c>
      <c r="F4" s="4" t="s">
        <v>155</v>
      </c>
      <c r="G4" s="9" t="s">
        <v>361</v>
      </c>
      <c r="H4" s="9" t="s">
        <v>112</v>
      </c>
      <c r="I4" s="4" t="s">
        <v>19</v>
      </c>
      <c r="J4" s="15">
        <v>16896</v>
      </c>
      <c r="K4" s="4" t="s">
        <v>20</v>
      </c>
      <c r="L4" s="15">
        <v>29319</v>
      </c>
      <c r="M4" s="4" t="s">
        <v>20</v>
      </c>
      <c r="N4" s="15" t="s">
        <v>76</v>
      </c>
      <c r="O4" s="4"/>
      <c r="P4" s="17" t="s">
        <v>554</v>
      </c>
      <c r="Q4" s="15" t="s">
        <v>463</v>
      </c>
      <c r="R4" s="4" t="s">
        <v>20</v>
      </c>
      <c r="S4" s="16" t="s">
        <v>507</v>
      </c>
    </row>
    <row r="5" spans="1:19" s="1" customFormat="1" ht="45" x14ac:dyDescent="0.25">
      <c r="A5" s="20" t="s">
        <v>156</v>
      </c>
      <c r="B5" s="20" t="s">
        <v>157</v>
      </c>
      <c r="C5" s="20" t="s">
        <v>33</v>
      </c>
      <c r="D5" s="20" t="s">
        <v>129</v>
      </c>
      <c r="E5" s="20" t="s">
        <v>158</v>
      </c>
      <c r="F5" s="20" t="s">
        <v>147</v>
      </c>
      <c r="G5" s="16" t="s">
        <v>362</v>
      </c>
      <c r="H5" s="16" t="s">
        <v>159</v>
      </c>
      <c r="I5" s="20" t="s">
        <v>19</v>
      </c>
      <c r="J5" s="65">
        <v>11875</v>
      </c>
      <c r="K5" s="20" t="s">
        <v>542</v>
      </c>
      <c r="L5" s="65">
        <v>11875</v>
      </c>
      <c r="M5" s="20" t="s">
        <v>544</v>
      </c>
      <c r="N5" s="65" t="s">
        <v>76</v>
      </c>
      <c r="O5" s="20"/>
      <c r="P5" s="17" t="s">
        <v>554</v>
      </c>
      <c r="Q5" s="65">
        <v>0</v>
      </c>
      <c r="R5" s="20" t="s">
        <v>20</v>
      </c>
      <c r="S5" s="16" t="s">
        <v>526</v>
      </c>
    </row>
    <row r="6" spans="1:19" s="19" customFormat="1" ht="180" x14ac:dyDescent="0.25">
      <c r="A6" s="4" t="s">
        <v>132</v>
      </c>
      <c r="B6" s="4" t="s">
        <v>133</v>
      </c>
      <c r="C6" s="4" t="s">
        <v>64</v>
      </c>
      <c r="D6" s="4" t="s">
        <v>129</v>
      </c>
      <c r="E6" s="4" t="s">
        <v>134</v>
      </c>
      <c r="F6" s="4" t="s">
        <v>131</v>
      </c>
      <c r="G6" s="9" t="s">
        <v>356</v>
      </c>
      <c r="H6" s="9" t="s">
        <v>515</v>
      </c>
      <c r="I6" s="4" t="s">
        <v>19</v>
      </c>
      <c r="J6" s="15">
        <v>171444</v>
      </c>
      <c r="K6" s="4" t="s">
        <v>20</v>
      </c>
      <c r="L6" s="15">
        <v>171444</v>
      </c>
      <c r="M6" s="4" t="s">
        <v>20</v>
      </c>
      <c r="N6" s="15">
        <f>(4500*12)</f>
        <v>54000</v>
      </c>
      <c r="O6" s="4" t="s">
        <v>20</v>
      </c>
      <c r="P6" s="17" t="s">
        <v>553</v>
      </c>
      <c r="Q6" s="15">
        <f>170000-N6</f>
        <v>116000</v>
      </c>
      <c r="R6" s="4" t="s">
        <v>20</v>
      </c>
      <c r="S6" s="9" t="s">
        <v>443</v>
      </c>
    </row>
    <row r="7" spans="1:19" s="1" customFormat="1" ht="105" x14ac:dyDescent="0.25">
      <c r="A7" s="9" t="s">
        <v>437</v>
      </c>
      <c r="B7" s="4" t="s">
        <v>438</v>
      </c>
      <c r="C7" s="4" t="s">
        <v>28</v>
      </c>
      <c r="D7" s="4" t="s">
        <v>129</v>
      </c>
      <c r="E7" s="4" t="s">
        <v>439</v>
      </c>
      <c r="F7" s="4" t="s">
        <v>147</v>
      </c>
      <c r="G7" s="9" t="s">
        <v>436</v>
      </c>
      <c r="H7" s="9" t="s">
        <v>435</v>
      </c>
      <c r="I7" s="4" t="s">
        <v>19</v>
      </c>
      <c r="J7" s="15">
        <v>116803</v>
      </c>
      <c r="K7" s="4" t="s">
        <v>542</v>
      </c>
      <c r="L7" s="15">
        <v>116803</v>
      </c>
      <c r="M7" s="4" t="s">
        <v>542</v>
      </c>
      <c r="N7" s="15" t="s">
        <v>76</v>
      </c>
      <c r="O7" s="4"/>
      <c r="P7" s="17" t="s">
        <v>554</v>
      </c>
      <c r="Q7" s="15" t="s">
        <v>49</v>
      </c>
      <c r="R7" s="4"/>
      <c r="S7" s="9" t="s">
        <v>505</v>
      </c>
    </row>
    <row r="8" spans="1:19" s="19" customFormat="1" ht="45" x14ac:dyDescent="0.25">
      <c r="A8" s="4" t="s">
        <v>225</v>
      </c>
      <c r="B8" s="4" t="s">
        <v>226</v>
      </c>
      <c r="C8" s="4" t="s">
        <v>186</v>
      </c>
      <c r="D8" s="4" t="s">
        <v>129</v>
      </c>
      <c r="E8" s="4" t="s">
        <v>440</v>
      </c>
      <c r="F8" s="4" t="s">
        <v>441</v>
      </c>
      <c r="G8" s="9" t="s">
        <v>442</v>
      </c>
      <c r="H8" s="9" t="s">
        <v>138</v>
      </c>
      <c r="I8" s="4" t="s">
        <v>19</v>
      </c>
      <c r="J8" s="15">
        <v>57200</v>
      </c>
      <c r="K8" s="4" t="s">
        <v>20</v>
      </c>
      <c r="L8" s="15" t="s">
        <v>267</v>
      </c>
      <c r="M8" s="4" t="s">
        <v>61</v>
      </c>
      <c r="N8" s="15" t="s">
        <v>76</v>
      </c>
      <c r="O8" s="4"/>
      <c r="P8" s="17" t="s">
        <v>554</v>
      </c>
      <c r="Q8" s="15" t="s">
        <v>76</v>
      </c>
      <c r="R8" s="4"/>
      <c r="S8" s="9" t="s">
        <v>551</v>
      </c>
    </row>
    <row r="9" spans="1:19" s="1" customFormat="1" ht="225" x14ac:dyDescent="0.25">
      <c r="A9" s="4" t="s">
        <v>127</v>
      </c>
      <c r="B9" s="4" t="s">
        <v>128</v>
      </c>
      <c r="C9" s="4" t="s">
        <v>64</v>
      </c>
      <c r="D9" s="4" t="s">
        <v>129</v>
      </c>
      <c r="E9" s="4" t="s">
        <v>130</v>
      </c>
      <c r="F9" s="4" t="s">
        <v>131</v>
      </c>
      <c r="G9" s="9" t="s">
        <v>355</v>
      </c>
      <c r="H9" s="9" t="s">
        <v>514</v>
      </c>
      <c r="I9" s="4" t="s">
        <v>19</v>
      </c>
      <c r="J9" s="63">
        <v>130000</v>
      </c>
      <c r="K9" s="4" t="s">
        <v>20</v>
      </c>
      <c r="L9" s="15">
        <v>130000</v>
      </c>
      <c r="M9" s="4" t="s">
        <v>20</v>
      </c>
      <c r="N9" s="15">
        <v>53000</v>
      </c>
      <c r="O9" s="4" t="s">
        <v>20</v>
      </c>
      <c r="P9" s="17" t="s">
        <v>553</v>
      </c>
      <c r="Q9" s="15">
        <f>L9-N9</f>
        <v>77000</v>
      </c>
      <c r="R9" s="4" t="s">
        <v>20</v>
      </c>
      <c r="S9" s="9" t="s">
        <v>531</v>
      </c>
    </row>
    <row r="10" spans="1:19" s="1" customFormat="1" ht="150" x14ac:dyDescent="0.25">
      <c r="A10" s="4" t="s">
        <v>417</v>
      </c>
      <c r="B10" s="4" t="s">
        <v>418</v>
      </c>
      <c r="C10" s="4" t="s">
        <v>419</v>
      </c>
      <c r="D10" s="4" t="s">
        <v>129</v>
      </c>
      <c r="E10" s="4" t="s">
        <v>421</v>
      </c>
      <c r="F10" s="4" t="s">
        <v>131</v>
      </c>
      <c r="G10" s="9" t="s">
        <v>422</v>
      </c>
      <c r="H10" s="9" t="s">
        <v>420</v>
      </c>
      <c r="I10" s="4" t="s">
        <v>19</v>
      </c>
      <c r="J10" s="15">
        <v>200</v>
      </c>
      <c r="K10" s="4" t="s">
        <v>55</v>
      </c>
      <c r="L10" s="15" t="s">
        <v>267</v>
      </c>
      <c r="M10" s="4" t="s">
        <v>267</v>
      </c>
      <c r="N10" s="15" t="s">
        <v>76</v>
      </c>
      <c r="O10" s="4"/>
      <c r="P10" s="17" t="s">
        <v>554</v>
      </c>
      <c r="Q10" s="15" t="s">
        <v>463</v>
      </c>
      <c r="R10" s="4"/>
      <c r="S10" s="9" t="s">
        <v>508</v>
      </c>
    </row>
    <row r="11" spans="1:19" s="1" customFormat="1" ht="120" x14ac:dyDescent="0.25">
      <c r="A11" s="4" t="s">
        <v>135</v>
      </c>
      <c r="B11" s="4" t="s">
        <v>136</v>
      </c>
      <c r="C11" s="4" t="s">
        <v>91</v>
      </c>
      <c r="D11" s="4" t="s">
        <v>129</v>
      </c>
      <c r="E11" s="4" t="s">
        <v>137</v>
      </c>
      <c r="F11" s="4" t="s">
        <v>131</v>
      </c>
      <c r="G11" s="9" t="s">
        <v>357</v>
      </c>
      <c r="H11" s="9" t="s">
        <v>138</v>
      </c>
      <c r="I11" s="4" t="s">
        <v>19</v>
      </c>
      <c r="J11" s="71">
        <v>4063</v>
      </c>
      <c r="K11" s="79" t="s">
        <v>385</v>
      </c>
      <c r="L11" s="15">
        <v>32500</v>
      </c>
      <c r="M11" s="4" t="s">
        <v>20</v>
      </c>
      <c r="N11" s="71">
        <v>3000</v>
      </c>
      <c r="O11" s="17" t="s">
        <v>385</v>
      </c>
      <c r="P11" s="17" t="s">
        <v>553</v>
      </c>
      <c r="Q11" s="71">
        <v>1000</v>
      </c>
      <c r="R11" s="17" t="s">
        <v>20</v>
      </c>
      <c r="S11" s="9" t="s">
        <v>506</v>
      </c>
    </row>
    <row r="12" spans="1:19" s="1" customFormat="1" ht="45" x14ac:dyDescent="0.25">
      <c r="A12" s="4" t="s">
        <v>139</v>
      </c>
      <c r="B12" s="4" t="s">
        <v>140</v>
      </c>
      <c r="C12" s="4" t="s">
        <v>64</v>
      </c>
      <c r="D12" s="4" t="s">
        <v>129</v>
      </c>
      <c r="E12" s="4" t="s">
        <v>141</v>
      </c>
      <c r="F12" s="4" t="s">
        <v>142</v>
      </c>
      <c r="G12" s="9" t="s">
        <v>358</v>
      </c>
      <c r="H12" s="9" t="s">
        <v>143</v>
      </c>
      <c r="I12" s="4" t="s">
        <v>19</v>
      </c>
      <c r="J12" s="71">
        <v>624000</v>
      </c>
      <c r="K12" s="17" t="s">
        <v>385</v>
      </c>
      <c r="L12" s="71">
        <v>624000</v>
      </c>
      <c r="M12" s="17" t="s">
        <v>385</v>
      </c>
      <c r="N12" s="71">
        <v>620000</v>
      </c>
      <c r="O12" s="17" t="s">
        <v>385</v>
      </c>
      <c r="P12" s="17" t="s">
        <v>553</v>
      </c>
      <c r="Q12" s="71">
        <v>4000</v>
      </c>
      <c r="R12" s="17" t="s">
        <v>20</v>
      </c>
      <c r="S12" s="9" t="s">
        <v>525</v>
      </c>
    </row>
    <row r="13" spans="1:19" x14ac:dyDescent="0.25">
      <c r="A13" s="1"/>
      <c r="B13" s="1"/>
      <c r="C13" s="1"/>
      <c r="D13" s="1"/>
      <c r="E13" s="1"/>
      <c r="F13" s="1"/>
      <c r="G13" s="80"/>
      <c r="H13" s="80"/>
      <c r="I13" s="1"/>
      <c r="J13" s="1"/>
      <c r="K13" s="1"/>
      <c r="L13" s="81">
        <f>SUM(L2:L12)</f>
        <v>1179931</v>
      </c>
      <c r="M13" s="1"/>
      <c r="N13" s="1"/>
      <c r="O13" s="1"/>
      <c r="P13" s="73"/>
      <c r="Q13" s="81">
        <f>SUM(Q2:Q12)</f>
        <v>198000</v>
      </c>
      <c r="R13" s="1"/>
    </row>
    <row r="14" spans="1:19" ht="30" x14ac:dyDescent="0.25">
      <c r="G14"/>
      <c r="H14" s="18" t="s">
        <v>540</v>
      </c>
      <c r="I14" s="62" t="s">
        <v>541</v>
      </c>
      <c r="L14" s="58"/>
      <c r="Q14" s="58"/>
    </row>
    <row r="15" spans="1:19" x14ac:dyDescent="0.25">
      <c r="G15" s="60" t="s">
        <v>80</v>
      </c>
      <c r="H15" s="58">
        <f>SUM(L10)</f>
        <v>0</v>
      </c>
      <c r="I15" s="58">
        <v>0</v>
      </c>
      <c r="L15" s="58"/>
      <c r="Q15" s="58"/>
    </row>
    <row r="16" spans="1:19" x14ac:dyDescent="0.25">
      <c r="G16" s="60" t="s">
        <v>138</v>
      </c>
      <c r="H16" s="58">
        <f>SUM(L2+L3+L4+L5+L7+L11)</f>
        <v>254487</v>
      </c>
      <c r="I16" s="58">
        <f>SUM((L2+L3+L4+L5+L7+L11)-(Q11))</f>
        <v>253487</v>
      </c>
      <c r="L16" s="58"/>
      <c r="Q16" s="58"/>
    </row>
    <row r="17" spans="7:17" x14ac:dyDescent="0.25">
      <c r="G17" s="60" t="s">
        <v>538</v>
      </c>
      <c r="H17" s="58">
        <f>SUM(L6+L9+L12)</f>
        <v>925444</v>
      </c>
      <c r="I17" s="58">
        <f>SUM((L6+L9+L12)-(Q6+Q9+Q12))</f>
        <v>728444</v>
      </c>
      <c r="Q17" s="58"/>
    </row>
    <row r="18" spans="7:17" x14ac:dyDescent="0.25">
      <c r="G18" s="60" t="s">
        <v>539</v>
      </c>
      <c r="H18" s="58">
        <v>0</v>
      </c>
      <c r="I18" s="58">
        <v>0</v>
      </c>
      <c r="Q18" s="58"/>
    </row>
    <row r="19" spans="7:17" x14ac:dyDescent="0.25">
      <c r="G19" s="62" t="s">
        <v>556</v>
      </c>
      <c r="H19" s="82">
        <f>SUM(H15:H18)</f>
        <v>1179931</v>
      </c>
      <c r="I19" s="82">
        <f>SUM(I15:I18)</f>
        <v>981931</v>
      </c>
      <c r="Q19" s="58"/>
    </row>
    <row r="20" spans="7:17" ht="30" x14ac:dyDescent="0.25">
      <c r="I20" s="89" t="s">
        <v>557</v>
      </c>
      <c r="J20" s="90">
        <f>SUM(H19-I19)</f>
        <v>198000</v>
      </c>
      <c r="Q20" s="58"/>
    </row>
  </sheetData>
  <autoFilter ref="A1:S12"/>
  <sortState ref="A3:R12">
    <sortCondition ref="B3:B12"/>
  </sortState>
  <pageMargins left="0.7" right="0.7" top="0.75" bottom="0.75" header="0.3" footer="0.3"/>
  <pageSetup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
  <sheetViews>
    <sheetView workbookViewId="0">
      <selection activeCell="B5" sqref="B5"/>
    </sheetView>
  </sheetViews>
  <sheetFormatPr defaultRowHeight="15" x14ac:dyDescent="0.25"/>
  <cols>
    <col min="1" max="1" width="15.42578125" style="7" customWidth="1"/>
    <col min="2" max="2" width="47" style="7" customWidth="1"/>
    <col min="3" max="3" width="40.5703125" style="7" customWidth="1"/>
    <col min="4" max="4" width="10.7109375" style="7" customWidth="1"/>
    <col min="5" max="5" width="23.140625" style="7" customWidth="1"/>
    <col min="6" max="6" width="11.7109375" style="7" customWidth="1"/>
    <col min="7" max="7" width="39.85546875" style="7" customWidth="1"/>
    <col min="8" max="8" width="39" style="7" customWidth="1"/>
    <col min="9" max="9" width="17.7109375" style="7" customWidth="1"/>
    <col min="10" max="10" width="20" style="7" customWidth="1"/>
    <col min="11" max="11" width="15.140625" style="7" customWidth="1"/>
    <col min="12" max="12" width="15" style="7" bestFit="1" customWidth="1"/>
    <col min="13" max="13" width="20.85546875" style="7" bestFit="1" customWidth="1"/>
    <col min="14" max="14" width="17.85546875" style="7" customWidth="1"/>
    <col min="15" max="15" width="11.85546875" style="7" bestFit="1" customWidth="1"/>
    <col min="16" max="16" width="10.7109375" style="72" customWidth="1"/>
    <col min="17" max="17" width="20.85546875" style="7" bestFit="1" customWidth="1"/>
    <col min="18" max="18" width="10.7109375" style="7" customWidth="1"/>
    <col min="19" max="19" width="47" style="7" customWidth="1"/>
    <col min="20" max="16384" width="9.140625" style="7"/>
  </cols>
  <sheetData>
    <row r="1" spans="1:19" x14ac:dyDescent="0.25">
      <c r="A1" s="147" t="s">
        <v>778</v>
      </c>
      <c r="B1" s="147"/>
      <c r="C1" s="147"/>
    </row>
    <row r="2" spans="1:19" s="18" customFormat="1" ht="45" x14ac:dyDescent="0.25">
      <c r="A2" s="77" t="s">
        <v>0</v>
      </c>
      <c r="B2" s="77" t="s">
        <v>1</v>
      </c>
      <c r="C2" s="77" t="s">
        <v>2</v>
      </c>
      <c r="D2" s="77" t="s">
        <v>3</v>
      </c>
      <c r="E2" s="77" t="s">
        <v>4</v>
      </c>
      <c r="F2" s="77" t="s">
        <v>5</v>
      </c>
      <c r="G2" s="77" t="s">
        <v>6</v>
      </c>
      <c r="H2" s="77" t="s">
        <v>7</v>
      </c>
      <c r="I2" s="77" t="s">
        <v>8</v>
      </c>
      <c r="J2" s="78" t="s">
        <v>519</v>
      </c>
      <c r="K2" s="77" t="s">
        <v>9</v>
      </c>
      <c r="L2" s="77" t="s">
        <v>10</v>
      </c>
      <c r="M2" s="77" t="s">
        <v>9</v>
      </c>
      <c r="N2" s="78" t="s">
        <v>520</v>
      </c>
      <c r="O2" s="77" t="s">
        <v>9</v>
      </c>
      <c r="P2" s="70" t="s">
        <v>552</v>
      </c>
      <c r="Q2" s="70" t="s">
        <v>555</v>
      </c>
      <c r="R2" s="77" t="s">
        <v>9</v>
      </c>
      <c r="S2" s="77" t="s">
        <v>12</v>
      </c>
    </row>
    <row r="3" spans="1:19" s="8" customFormat="1" ht="60" x14ac:dyDescent="0.25">
      <c r="A3" s="4" t="s">
        <v>212</v>
      </c>
      <c r="B3" s="4" t="s">
        <v>213</v>
      </c>
      <c r="C3" s="4" t="s">
        <v>23</v>
      </c>
      <c r="D3" s="4" t="s">
        <v>224</v>
      </c>
      <c r="E3" s="4" t="s">
        <v>304</v>
      </c>
      <c r="F3" s="4" t="s">
        <v>305</v>
      </c>
      <c r="G3" s="9" t="s">
        <v>345</v>
      </c>
      <c r="H3" s="4" t="s">
        <v>25</v>
      </c>
      <c r="I3" s="4" t="s">
        <v>19</v>
      </c>
      <c r="J3" s="15">
        <v>4037</v>
      </c>
      <c r="K3" s="4" t="s">
        <v>542</v>
      </c>
      <c r="L3" s="15">
        <v>4037</v>
      </c>
      <c r="M3" s="4" t="s">
        <v>542</v>
      </c>
      <c r="N3" s="4" t="s">
        <v>76</v>
      </c>
      <c r="O3" s="4"/>
      <c r="P3" s="17" t="s">
        <v>554</v>
      </c>
      <c r="Q3" s="4">
        <v>0</v>
      </c>
      <c r="R3" s="4" t="s">
        <v>20</v>
      </c>
      <c r="S3" s="9" t="s">
        <v>489</v>
      </c>
    </row>
    <row r="4" spans="1:19" s="8" customFormat="1" ht="60" x14ac:dyDescent="0.25">
      <c r="A4" s="4" t="s">
        <v>218</v>
      </c>
      <c r="B4" s="4" t="s">
        <v>219</v>
      </c>
      <c r="C4" s="4" t="s">
        <v>23</v>
      </c>
      <c r="D4" s="4" t="s">
        <v>224</v>
      </c>
      <c r="E4" s="4" t="s">
        <v>306</v>
      </c>
      <c r="F4" s="4" t="s">
        <v>298</v>
      </c>
      <c r="G4" s="9" t="s">
        <v>347</v>
      </c>
      <c r="H4" s="4" t="s">
        <v>25</v>
      </c>
      <c r="I4" s="4" t="s">
        <v>19</v>
      </c>
      <c r="J4" s="15">
        <v>4219</v>
      </c>
      <c r="K4" s="4" t="s">
        <v>542</v>
      </c>
      <c r="L4" s="15">
        <v>4219</v>
      </c>
      <c r="M4" s="4" t="s">
        <v>542</v>
      </c>
      <c r="N4" s="4">
        <v>0</v>
      </c>
      <c r="O4" s="4" t="s">
        <v>20</v>
      </c>
      <c r="P4" s="17" t="s">
        <v>554</v>
      </c>
      <c r="Q4" s="4">
        <v>0</v>
      </c>
      <c r="R4" s="4" t="s">
        <v>20</v>
      </c>
      <c r="S4" s="9" t="s">
        <v>459</v>
      </c>
    </row>
    <row r="5" spans="1:19" s="8" customFormat="1" ht="90" x14ac:dyDescent="0.25">
      <c r="A5" s="4" t="s">
        <v>220</v>
      </c>
      <c r="B5" s="4" t="s">
        <v>221</v>
      </c>
      <c r="C5" s="4" t="s">
        <v>23</v>
      </c>
      <c r="D5" s="4" t="s">
        <v>224</v>
      </c>
      <c r="E5" s="4" t="s">
        <v>307</v>
      </c>
      <c r="F5" s="4" t="s">
        <v>298</v>
      </c>
      <c r="G5" s="9" t="s">
        <v>348</v>
      </c>
      <c r="H5" s="4" t="s">
        <v>25</v>
      </c>
      <c r="I5" s="4" t="s">
        <v>19</v>
      </c>
      <c r="J5" s="15">
        <v>2942</v>
      </c>
      <c r="K5" s="4" t="s">
        <v>542</v>
      </c>
      <c r="L5" s="15">
        <v>2942</v>
      </c>
      <c r="M5" s="4" t="s">
        <v>542</v>
      </c>
      <c r="N5" s="4" t="s">
        <v>76</v>
      </c>
      <c r="O5" s="4"/>
      <c r="P5" s="17" t="s">
        <v>554</v>
      </c>
      <c r="Q5" s="4">
        <v>0</v>
      </c>
      <c r="R5" s="4" t="s">
        <v>20</v>
      </c>
      <c r="S5" s="9" t="s">
        <v>460</v>
      </c>
    </row>
    <row r="6" spans="1:19" s="8" customFormat="1" ht="165" x14ac:dyDescent="0.25">
      <c r="A6" s="4" t="s">
        <v>222</v>
      </c>
      <c r="B6" s="4" t="s">
        <v>223</v>
      </c>
      <c r="C6" s="4" t="s">
        <v>186</v>
      </c>
      <c r="D6" s="4" t="s">
        <v>224</v>
      </c>
      <c r="E6" s="4" t="s">
        <v>311</v>
      </c>
      <c r="F6" s="4" t="s">
        <v>275</v>
      </c>
      <c r="G6" s="9" t="s">
        <v>349</v>
      </c>
      <c r="H6" s="4" t="s">
        <v>112</v>
      </c>
      <c r="I6" s="4" t="s">
        <v>19</v>
      </c>
      <c r="J6" s="15">
        <v>9125</v>
      </c>
      <c r="K6" s="4" t="s">
        <v>20</v>
      </c>
      <c r="L6" s="15">
        <v>9125</v>
      </c>
      <c r="M6" s="4" t="s">
        <v>20</v>
      </c>
      <c r="N6" s="4" t="s">
        <v>76</v>
      </c>
      <c r="O6" s="4"/>
      <c r="P6" s="17" t="s">
        <v>554</v>
      </c>
      <c r="Q6" s="4" t="s">
        <v>463</v>
      </c>
      <c r="R6" s="4"/>
      <c r="S6" s="9" t="s">
        <v>524</v>
      </c>
    </row>
    <row r="7" spans="1:19" s="8" customFormat="1" ht="60" x14ac:dyDescent="0.25">
      <c r="A7" s="4" t="s">
        <v>210</v>
      </c>
      <c r="B7" s="4" t="s">
        <v>211</v>
      </c>
      <c r="C7" s="4" t="s">
        <v>23</v>
      </c>
      <c r="D7" s="4" t="s">
        <v>224</v>
      </c>
      <c r="E7" s="9" t="s">
        <v>303</v>
      </c>
      <c r="F7" s="4" t="s">
        <v>300</v>
      </c>
      <c r="G7" s="9" t="s">
        <v>344</v>
      </c>
      <c r="H7" s="9" t="s">
        <v>41</v>
      </c>
      <c r="I7" s="4" t="s">
        <v>19</v>
      </c>
      <c r="J7" s="15">
        <v>9250</v>
      </c>
      <c r="K7" s="4" t="s">
        <v>542</v>
      </c>
      <c r="L7" s="15">
        <v>9250</v>
      </c>
      <c r="M7" s="4" t="s">
        <v>542</v>
      </c>
      <c r="N7" s="4" t="s">
        <v>76</v>
      </c>
      <c r="O7" s="4"/>
      <c r="P7" s="17" t="s">
        <v>554</v>
      </c>
      <c r="Q7" s="4">
        <v>0</v>
      </c>
      <c r="R7" s="4" t="s">
        <v>20</v>
      </c>
      <c r="S7" s="9" t="s">
        <v>461</v>
      </c>
    </row>
    <row r="8" spans="1:19" s="8" customFormat="1" ht="60" x14ac:dyDescent="0.25">
      <c r="A8" s="4" t="s">
        <v>214</v>
      </c>
      <c r="B8" s="4" t="s">
        <v>215</v>
      </c>
      <c r="C8" s="4" t="s">
        <v>23</v>
      </c>
      <c r="D8" s="4" t="s">
        <v>224</v>
      </c>
      <c r="E8" s="4" t="s">
        <v>309</v>
      </c>
      <c r="F8" s="4" t="s">
        <v>310</v>
      </c>
      <c r="G8" s="9" t="s">
        <v>523</v>
      </c>
      <c r="H8" s="4" t="s">
        <v>29</v>
      </c>
      <c r="I8" s="4" t="s">
        <v>19</v>
      </c>
      <c r="J8" s="15">
        <v>1250</v>
      </c>
      <c r="K8" s="4" t="s">
        <v>542</v>
      </c>
      <c r="L8" s="15">
        <v>1250</v>
      </c>
      <c r="M8" s="4" t="s">
        <v>542</v>
      </c>
      <c r="N8" s="4" t="s">
        <v>76</v>
      </c>
      <c r="O8" s="4"/>
      <c r="P8" s="17" t="s">
        <v>554</v>
      </c>
      <c r="Q8" s="4">
        <v>0</v>
      </c>
      <c r="R8" s="4" t="s">
        <v>20</v>
      </c>
      <c r="S8" s="17" t="s">
        <v>458</v>
      </c>
    </row>
    <row r="9" spans="1:19" s="8" customFormat="1" ht="60" x14ac:dyDescent="0.25">
      <c r="A9" s="4" t="s">
        <v>216</v>
      </c>
      <c r="B9" s="4" t="s">
        <v>217</v>
      </c>
      <c r="C9" s="4" t="s">
        <v>23</v>
      </c>
      <c r="D9" s="4" t="s">
        <v>224</v>
      </c>
      <c r="E9" s="4" t="s">
        <v>299</v>
      </c>
      <c r="F9" s="4" t="s">
        <v>300</v>
      </c>
      <c r="G9" s="9" t="s">
        <v>346</v>
      </c>
      <c r="H9" s="4" t="s">
        <v>25</v>
      </c>
      <c r="I9" s="4" t="s">
        <v>19</v>
      </c>
      <c r="J9" s="4" t="s">
        <v>267</v>
      </c>
      <c r="K9" s="4" t="s">
        <v>267</v>
      </c>
      <c r="L9" s="15" t="s">
        <v>267</v>
      </c>
      <c r="M9" s="4" t="s">
        <v>301</v>
      </c>
      <c r="N9" s="4">
        <v>0</v>
      </c>
      <c r="O9" s="4" t="s">
        <v>20</v>
      </c>
      <c r="P9" s="17" t="s">
        <v>554</v>
      </c>
      <c r="Q9" s="4">
        <v>0</v>
      </c>
      <c r="R9" s="4" t="s">
        <v>20</v>
      </c>
      <c r="S9" s="9" t="s">
        <v>459</v>
      </c>
    </row>
    <row r="10" spans="1:19" s="8" customFormat="1" ht="60" x14ac:dyDescent="0.25">
      <c r="A10" s="4" t="s">
        <v>208</v>
      </c>
      <c r="B10" s="4" t="s">
        <v>209</v>
      </c>
      <c r="C10" s="4" t="s">
        <v>91</v>
      </c>
      <c r="D10" s="4" t="s">
        <v>224</v>
      </c>
      <c r="E10" s="9" t="s">
        <v>302</v>
      </c>
      <c r="F10" s="4" t="s">
        <v>275</v>
      </c>
      <c r="G10" s="9" t="s">
        <v>343</v>
      </c>
      <c r="H10" s="9" t="s">
        <v>138</v>
      </c>
      <c r="I10" s="4" t="s">
        <v>19</v>
      </c>
      <c r="J10" s="15">
        <v>72800</v>
      </c>
      <c r="K10" s="4" t="s">
        <v>20</v>
      </c>
      <c r="L10" s="15" t="s">
        <v>267</v>
      </c>
      <c r="M10" s="4" t="s">
        <v>301</v>
      </c>
      <c r="N10" s="15">
        <v>0</v>
      </c>
      <c r="O10" s="4" t="s">
        <v>20</v>
      </c>
      <c r="P10" s="17" t="s">
        <v>554</v>
      </c>
      <c r="Q10" s="4">
        <v>0</v>
      </c>
      <c r="R10" s="4" t="s">
        <v>20</v>
      </c>
      <c r="S10" s="4" t="s">
        <v>457</v>
      </c>
    </row>
    <row r="11" spans="1:19" x14ac:dyDescent="0.25">
      <c r="L11" s="69"/>
    </row>
    <row r="12" spans="1:19" x14ac:dyDescent="0.25">
      <c r="G12"/>
      <c r="H12" s="18" t="s">
        <v>540</v>
      </c>
      <c r="I12" s="62" t="s">
        <v>541</v>
      </c>
      <c r="L12" s="69">
        <f>SUM(L3:L10)</f>
        <v>30823</v>
      </c>
      <c r="Q12" s="7">
        <f>SUM(Q3:Q10)</f>
        <v>0</v>
      </c>
    </row>
    <row r="13" spans="1:19" x14ac:dyDescent="0.25">
      <c r="G13" s="60" t="s">
        <v>80</v>
      </c>
      <c r="H13" s="58" t="e">
        <f>SUM(#REF!)</f>
        <v>#REF!</v>
      </c>
      <c r="I13" s="58" t="e">
        <f>SUM((#REF!)-(#REF!))</f>
        <v>#REF!</v>
      </c>
      <c r="N13" s="69"/>
    </row>
    <row r="14" spans="1:19" x14ac:dyDescent="0.25">
      <c r="G14" s="60" t="s">
        <v>138</v>
      </c>
      <c r="H14" s="58">
        <f>SUM(L6+0)</f>
        <v>9125</v>
      </c>
      <c r="I14" s="58">
        <f>SUM((L6+0)-(0))</f>
        <v>9125</v>
      </c>
    </row>
    <row r="15" spans="1:19" x14ac:dyDescent="0.25">
      <c r="G15" s="60" t="s">
        <v>538</v>
      </c>
      <c r="H15" s="58" t="e">
        <f>SUM(#REF!+#REF!+#REF!+#REF!)</f>
        <v>#REF!</v>
      </c>
      <c r="I15" s="58" t="e">
        <f>SUM((#REF!+#REF!+#REF!+#REF!)-(#REF!+#REF!+#REF!+#REF!))</f>
        <v>#REF!</v>
      </c>
      <c r="J15" s="69"/>
    </row>
    <row r="16" spans="1:19" x14ac:dyDescent="0.25">
      <c r="G16" s="60" t="s">
        <v>539</v>
      </c>
      <c r="H16" s="58">
        <f>SUM(L3+L4+L5+L7+L8)</f>
        <v>21698</v>
      </c>
      <c r="I16" s="58">
        <f>SUM((L3+L4+L5+L7+L8)-(Q3+Q4+Q5+Q7+Q8))</f>
        <v>21698</v>
      </c>
    </row>
    <row r="17" spans="7:10" x14ac:dyDescent="0.25">
      <c r="G17" s="85" t="s">
        <v>556</v>
      </c>
      <c r="H17" s="88" t="e">
        <f>SUM(H13:H16)</f>
        <v>#REF!</v>
      </c>
      <c r="I17" s="88" t="e">
        <f>SUM(I13:I16)</f>
        <v>#REF!</v>
      </c>
    </row>
    <row r="18" spans="7:10" x14ac:dyDescent="0.25">
      <c r="I18" s="89" t="s">
        <v>557</v>
      </c>
      <c r="J18" s="90" t="e">
        <f>SUM(H17-I17)</f>
        <v>#REF!</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7"/>
  <sheetViews>
    <sheetView zoomScale="80" zoomScaleNormal="80" workbookViewId="0">
      <pane xSplit="2" ySplit="1" topLeftCell="I2" activePane="bottomRight" state="frozen"/>
      <selection pane="topRight" activeCell="C1" sqref="C1"/>
      <selection pane="bottomLeft" activeCell="A2" sqref="A2"/>
      <selection pane="bottomRight" activeCell="Q3" sqref="Q3"/>
    </sheetView>
  </sheetViews>
  <sheetFormatPr defaultRowHeight="15" x14ac:dyDescent="0.25"/>
  <cols>
    <col min="1" max="1" width="15.7109375" bestFit="1" customWidth="1"/>
    <col min="2" max="2" width="45.85546875" bestFit="1" customWidth="1"/>
    <col min="3" max="3" width="46.42578125" bestFit="1" customWidth="1"/>
    <col min="4" max="4" width="8.85546875" bestFit="1" customWidth="1"/>
    <col min="5" max="5" width="24.28515625" bestFit="1" customWidth="1"/>
    <col min="6" max="6" width="13.5703125" customWidth="1"/>
    <col min="7" max="7" width="42" customWidth="1"/>
    <col min="8" max="8" width="40.5703125" bestFit="1" customWidth="1"/>
    <col min="9" max="9" width="17.7109375" customWidth="1"/>
    <col min="10" max="10" width="20.7109375" style="6" customWidth="1"/>
    <col min="11" max="11" width="21.5703125" bestFit="1" customWidth="1"/>
    <col min="12" max="12" width="15" bestFit="1" customWidth="1"/>
    <col min="13" max="13" width="16.140625" bestFit="1" customWidth="1"/>
    <col min="14" max="14" width="18.5703125" customWidth="1"/>
    <col min="15" max="15" width="11.85546875" bestFit="1" customWidth="1"/>
    <col min="16" max="16" width="10.7109375" style="72" customWidth="1"/>
    <col min="17" max="17" width="21.85546875" bestFit="1" customWidth="1"/>
    <col min="18" max="18" width="10.28515625" customWidth="1"/>
    <col min="19" max="19" width="100.7109375" customWidth="1"/>
  </cols>
  <sheetData>
    <row r="1" spans="1:19" s="2" customFormat="1" ht="45" x14ac:dyDescent="0.25">
      <c r="A1" s="77" t="s">
        <v>0</v>
      </c>
      <c r="B1" s="77" t="s">
        <v>1</v>
      </c>
      <c r="C1" s="77" t="s">
        <v>2</v>
      </c>
      <c r="D1" s="77" t="s">
        <v>3</v>
      </c>
      <c r="E1" s="77" t="s">
        <v>4</v>
      </c>
      <c r="F1" s="77" t="s">
        <v>5</v>
      </c>
      <c r="G1" s="77" t="s">
        <v>6</v>
      </c>
      <c r="H1" s="77" t="s">
        <v>7</v>
      </c>
      <c r="I1" s="77" t="s">
        <v>8</v>
      </c>
      <c r="J1" s="78" t="s">
        <v>519</v>
      </c>
      <c r="K1" s="77" t="s">
        <v>9</v>
      </c>
      <c r="L1" s="77" t="s">
        <v>10</v>
      </c>
      <c r="M1" s="77" t="s">
        <v>9</v>
      </c>
      <c r="N1" s="78" t="s">
        <v>520</v>
      </c>
      <c r="O1" s="77" t="s">
        <v>9</v>
      </c>
      <c r="P1" s="70" t="s">
        <v>552</v>
      </c>
      <c r="Q1" s="70" t="s">
        <v>555</v>
      </c>
      <c r="R1" s="77" t="s">
        <v>9</v>
      </c>
      <c r="S1" s="77" t="s">
        <v>12</v>
      </c>
    </row>
    <row r="2" spans="1:19" s="1" customFormat="1" ht="45" x14ac:dyDescent="0.25">
      <c r="A2" s="4" t="s">
        <v>237</v>
      </c>
      <c r="B2" s="4" t="s">
        <v>238</v>
      </c>
      <c r="C2" s="4" t="s">
        <v>186</v>
      </c>
      <c r="D2" s="4" t="s">
        <v>232</v>
      </c>
      <c r="E2" s="4" t="s">
        <v>239</v>
      </c>
      <c r="F2" s="4" t="s">
        <v>240</v>
      </c>
      <c r="G2" s="9" t="s">
        <v>369</v>
      </c>
      <c r="H2" s="4" t="s">
        <v>112</v>
      </c>
      <c r="I2" s="4" t="s">
        <v>19</v>
      </c>
      <c r="J2" s="63">
        <v>60000</v>
      </c>
      <c r="K2" s="4" t="s">
        <v>20</v>
      </c>
      <c r="L2" s="15">
        <v>60000</v>
      </c>
      <c r="M2" s="4" t="s">
        <v>20</v>
      </c>
      <c r="N2" s="4" t="s">
        <v>449</v>
      </c>
      <c r="O2" s="4" t="s">
        <v>30</v>
      </c>
      <c r="P2" s="17" t="s">
        <v>554</v>
      </c>
      <c r="Q2" s="4">
        <v>0</v>
      </c>
      <c r="R2" s="4" t="s">
        <v>20</v>
      </c>
      <c r="S2" s="9" t="s">
        <v>467</v>
      </c>
    </row>
    <row r="3" spans="1:19" s="1" customFormat="1" ht="105" x14ac:dyDescent="0.25">
      <c r="A3" s="4" t="s">
        <v>241</v>
      </c>
      <c r="B3" s="4" t="s">
        <v>242</v>
      </c>
      <c r="C3" s="4" t="s">
        <v>64</v>
      </c>
      <c r="D3" s="4" t="s">
        <v>232</v>
      </c>
      <c r="E3" s="4" t="s">
        <v>233</v>
      </c>
      <c r="F3" s="4" t="s">
        <v>234</v>
      </c>
      <c r="G3" s="9" t="s">
        <v>370</v>
      </c>
      <c r="H3" s="4" t="s">
        <v>513</v>
      </c>
      <c r="I3" s="4" t="s">
        <v>19</v>
      </c>
      <c r="J3" s="63">
        <v>130000</v>
      </c>
      <c r="K3" s="4" t="s">
        <v>20</v>
      </c>
      <c r="L3" s="15">
        <v>156000</v>
      </c>
      <c r="M3" s="4" t="s">
        <v>20</v>
      </c>
      <c r="N3" s="15">
        <v>9220</v>
      </c>
      <c r="O3" s="4" t="s">
        <v>71</v>
      </c>
      <c r="P3" s="17" t="s">
        <v>553</v>
      </c>
      <c r="Q3" s="15">
        <f>156000-(N3*12)</f>
        <v>45360</v>
      </c>
      <c r="R3" s="4" t="s">
        <v>20</v>
      </c>
      <c r="S3" s="9" t="s">
        <v>424</v>
      </c>
    </row>
    <row r="4" spans="1:19" s="1" customFormat="1" ht="240" x14ac:dyDescent="0.25">
      <c r="A4" s="4" t="s">
        <v>402</v>
      </c>
      <c r="B4" s="4" t="s">
        <v>464</v>
      </c>
      <c r="C4" s="4" t="s">
        <v>405</v>
      </c>
      <c r="D4" s="4" t="s">
        <v>232</v>
      </c>
      <c r="E4" s="4" t="s">
        <v>403</v>
      </c>
      <c r="F4" s="4" t="s">
        <v>276</v>
      </c>
      <c r="G4" s="9" t="s">
        <v>404</v>
      </c>
      <c r="H4" s="4" t="s">
        <v>308</v>
      </c>
      <c r="I4" s="4" t="s">
        <v>19</v>
      </c>
      <c r="J4" s="63">
        <v>312000</v>
      </c>
      <c r="K4" s="4" t="s">
        <v>20</v>
      </c>
      <c r="L4" s="15">
        <v>312000</v>
      </c>
      <c r="M4" s="4" t="s">
        <v>20</v>
      </c>
      <c r="N4" s="15">
        <f>(7679.4+8512.1+7391+6297.6+8528.8)/5</f>
        <v>7681.7799999999988</v>
      </c>
      <c r="O4" s="9" t="s">
        <v>71</v>
      </c>
      <c r="P4" s="17" t="s">
        <v>553</v>
      </c>
      <c r="Q4" s="15">
        <f>((335+145)*365)-(N4*12)</f>
        <v>83018.640000000014</v>
      </c>
      <c r="R4" s="4" t="s">
        <v>20</v>
      </c>
      <c r="S4" s="16" t="s">
        <v>533</v>
      </c>
    </row>
    <row r="5" spans="1:19" s="1" customFormat="1" ht="90" x14ac:dyDescent="0.25">
      <c r="A5" s="4" t="s">
        <v>236</v>
      </c>
      <c r="B5" s="9" t="s">
        <v>260</v>
      </c>
      <c r="C5" s="4" t="s">
        <v>479</v>
      </c>
      <c r="D5" s="4" t="s">
        <v>232</v>
      </c>
      <c r="E5" s="4" t="s">
        <v>399</v>
      </c>
      <c r="F5" s="4" t="s">
        <v>240</v>
      </c>
      <c r="G5" s="9" t="s">
        <v>465</v>
      </c>
      <c r="H5" s="4" t="s">
        <v>401</v>
      </c>
      <c r="I5" s="4" t="s">
        <v>19</v>
      </c>
      <c r="J5" s="9" t="s">
        <v>236</v>
      </c>
      <c r="K5" s="4"/>
      <c r="L5" s="15" t="s">
        <v>236</v>
      </c>
      <c r="M5" s="4"/>
      <c r="N5" s="15" t="s">
        <v>76</v>
      </c>
      <c r="O5" s="4"/>
      <c r="P5" s="17" t="s">
        <v>554</v>
      </c>
      <c r="Q5" s="15" t="s">
        <v>76</v>
      </c>
      <c r="R5" s="4"/>
      <c r="S5" s="55" t="s">
        <v>466</v>
      </c>
    </row>
    <row r="6" spans="1:19" s="1" customFormat="1" ht="45" x14ac:dyDescent="0.25">
      <c r="A6" s="4" t="s">
        <v>243</v>
      </c>
      <c r="B6" s="4" t="s">
        <v>244</v>
      </c>
      <c r="C6" s="4" t="s">
        <v>186</v>
      </c>
      <c r="D6" s="4" t="s">
        <v>232</v>
      </c>
      <c r="E6" s="4" t="s">
        <v>245</v>
      </c>
      <c r="F6" s="4" t="s">
        <v>246</v>
      </c>
      <c r="G6" s="9" t="s">
        <v>371</v>
      </c>
      <c r="H6" s="4" t="s">
        <v>70</v>
      </c>
      <c r="I6" s="4" t="s">
        <v>19</v>
      </c>
      <c r="J6" s="63">
        <v>62369</v>
      </c>
      <c r="K6" s="4" t="s">
        <v>20</v>
      </c>
      <c r="L6" s="15">
        <v>62369</v>
      </c>
      <c r="M6" s="4" t="s">
        <v>20</v>
      </c>
      <c r="N6" s="15" t="s">
        <v>477</v>
      </c>
      <c r="O6" s="4" t="s">
        <v>30</v>
      </c>
      <c r="P6" s="17" t="s">
        <v>553</v>
      </c>
      <c r="Q6" s="15">
        <f>L6/2</f>
        <v>31184.5</v>
      </c>
      <c r="R6" s="4" t="s">
        <v>20</v>
      </c>
      <c r="S6" s="9" t="s">
        <v>476</v>
      </c>
    </row>
    <row r="7" spans="1:19" s="1" customFormat="1" ht="120" x14ac:dyDescent="0.25">
      <c r="A7" s="4" t="s">
        <v>247</v>
      </c>
      <c r="B7" s="4" t="s">
        <v>248</v>
      </c>
      <c r="C7" s="4" t="s">
        <v>15</v>
      </c>
      <c r="D7" s="4" t="s">
        <v>232</v>
      </c>
      <c r="E7" s="4" t="s">
        <v>249</v>
      </c>
      <c r="F7" s="4" t="s">
        <v>234</v>
      </c>
      <c r="G7" s="9" t="s">
        <v>372</v>
      </c>
      <c r="H7" s="4" t="s">
        <v>250</v>
      </c>
      <c r="I7" s="4" t="s">
        <v>19</v>
      </c>
      <c r="J7" s="63">
        <v>62400</v>
      </c>
      <c r="K7" s="4" t="s">
        <v>20</v>
      </c>
      <c r="L7" s="15">
        <v>62000</v>
      </c>
      <c r="M7" s="4" t="s">
        <v>20</v>
      </c>
      <c r="N7" s="15" t="s">
        <v>451</v>
      </c>
      <c r="O7" s="4" t="s">
        <v>20</v>
      </c>
      <c r="P7" s="17" t="s">
        <v>553</v>
      </c>
      <c r="Q7" s="15">
        <f>L7-25000</f>
        <v>37000</v>
      </c>
      <c r="R7" s="4" t="s">
        <v>20</v>
      </c>
      <c r="S7" s="55" t="s">
        <v>452</v>
      </c>
    </row>
    <row r="8" spans="1:19" s="1" customFormat="1" ht="45" x14ac:dyDescent="0.25">
      <c r="A8" s="4" t="s">
        <v>251</v>
      </c>
      <c r="B8" s="4" t="s">
        <v>248</v>
      </c>
      <c r="C8" s="4" t="s">
        <v>15</v>
      </c>
      <c r="D8" s="4" t="s">
        <v>232</v>
      </c>
      <c r="E8" s="4" t="s">
        <v>252</v>
      </c>
      <c r="F8" s="4" t="s">
        <v>253</v>
      </c>
      <c r="G8" s="9" t="s">
        <v>373</v>
      </c>
      <c r="H8" s="4" t="s">
        <v>70</v>
      </c>
      <c r="I8" s="4" t="s">
        <v>19</v>
      </c>
      <c r="J8" s="63">
        <v>62400</v>
      </c>
      <c r="K8" s="4" t="s">
        <v>20</v>
      </c>
      <c r="L8" s="15">
        <v>72000</v>
      </c>
      <c r="M8" s="4" t="s">
        <v>20</v>
      </c>
      <c r="N8" s="15">
        <v>0</v>
      </c>
      <c r="O8" s="4" t="s">
        <v>20</v>
      </c>
      <c r="P8" s="17" t="s">
        <v>554</v>
      </c>
      <c r="Q8" s="15">
        <v>0</v>
      </c>
      <c r="R8" s="4" t="s">
        <v>20</v>
      </c>
      <c r="S8" s="9" t="s">
        <v>425</v>
      </c>
    </row>
    <row r="9" spans="1:19" s="1" customFormat="1" ht="120" x14ac:dyDescent="0.25">
      <c r="A9" s="4" t="s">
        <v>254</v>
      </c>
      <c r="B9" s="4" t="s">
        <v>450</v>
      </c>
      <c r="C9" s="4" t="s">
        <v>33</v>
      </c>
      <c r="D9" s="4" t="s">
        <v>232</v>
      </c>
      <c r="E9" s="4" t="s">
        <v>255</v>
      </c>
      <c r="F9" s="4" t="s">
        <v>256</v>
      </c>
      <c r="G9" s="9" t="s">
        <v>374</v>
      </c>
      <c r="H9" s="4" t="s">
        <v>250</v>
      </c>
      <c r="I9" s="4" t="s">
        <v>19</v>
      </c>
      <c r="J9" s="63">
        <v>7625</v>
      </c>
      <c r="K9" s="4" t="s">
        <v>542</v>
      </c>
      <c r="L9" s="15">
        <v>7625</v>
      </c>
      <c r="M9" s="4" t="s">
        <v>542</v>
      </c>
      <c r="N9" s="15" t="s">
        <v>76</v>
      </c>
      <c r="O9" s="4"/>
      <c r="P9" s="17" t="s">
        <v>554</v>
      </c>
      <c r="Q9" s="63" t="s">
        <v>49</v>
      </c>
      <c r="R9" s="4"/>
      <c r="S9" s="9" t="s">
        <v>527</v>
      </c>
    </row>
    <row r="10" spans="1:19" s="1" customFormat="1" ht="60" x14ac:dyDescent="0.25">
      <c r="A10" s="4" t="s">
        <v>257</v>
      </c>
      <c r="B10" s="4" t="s">
        <v>258</v>
      </c>
      <c r="C10" s="4" t="s">
        <v>33</v>
      </c>
      <c r="D10" s="4" t="s">
        <v>232</v>
      </c>
      <c r="E10" s="4" t="s">
        <v>259</v>
      </c>
      <c r="F10" s="4" t="s">
        <v>234</v>
      </c>
      <c r="G10" s="9" t="s">
        <v>372</v>
      </c>
      <c r="H10" s="4" t="s">
        <v>112</v>
      </c>
      <c r="I10" s="4" t="s">
        <v>19</v>
      </c>
      <c r="J10" s="63">
        <v>6250</v>
      </c>
      <c r="K10" s="4" t="s">
        <v>543</v>
      </c>
      <c r="L10" s="15">
        <v>6250</v>
      </c>
      <c r="M10" s="4" t="s">
        <v>20</v>
      </c>
      <c r="N10" s="15" t="s">
        <v>76</v>
      </c>
      <c r="O10" s="4"/>
      <c r="P10" s="17" t="s">
        <v>554</v>
      </c>
      <c r="Q10" s="15">
        <v>0</v>
      </c>
      <c r="R10" s="4" t="s">
        <v>30</v>
      </c>
      <c r="S10" s="9" t="s">
        <v>426</v>
      </c>
    </row>
    <row r="11" spans="1:19" x14ac:dyDescent="0.25">
      <c r="I11" s="61" t="s">
        <v>540</v>
      </c>
      <c r="J11" s="62" t="s">
        <v>541</v>
      </c>
      <c r="L11" s="58"/>
      <c r="P11" s="73"/>
    </row>
    <row r="12" spans="1:19" x14ac:dyDescent="0.25">
      <c r="H12" s="60" t="s">
        <v>80</v>
      </c>
      <c r="I12" s="58">
        <f>SUM(L5)</f>
        <v>0</v>
      </c>
      <c r="J12" s="58">
        <f>SUM(M5)</f>
        <v>0</v>
      </c>
      <c r="L12" s="58">
        <f>SUM(L2:L10)</f>
        <v>738244</v>
      </c>
      <c r="P12" s="74"/>
      <c r="Q12" s="58">
        <f>SUM(Q2:Q10)</f>
        <v>196563.14</v>
      </c>
    </row>
    <row r="13" spans="1:19" x14ac:dyDescent="0.25">
      <c r="H13" s="60" t="s">
        <v>138</v>
      </c>
      <c r="I13" s="58">
        <f>SUM(L10+L9+L7+L2)</f>
        <v>135875</v>
      </c>
      <c r="J13" s="58">
        <f>SUM((L10+L9+L7+L2)-(Q10+Q7+Q2))</f>
        <v>98875</v>
      </c>
      <c r="P13" s="74"/>
    </row>
    <row r="14" spans="1:19" x14ac:dyDescent="0.25">
      <c r="H14" s="60" t="s">
        <v>538</v>
      </c>
      <c r="I14" s="58">
        <f>SUM(L4+L3)</f>
        <v>468000</v>
      </c>
      <c r="J14" s="58">
        <f>SUM(L4+L3)-(Q4+Q3)</f>
        <v>339621.36</v>
      </c>
    </row>
    <row r="15" spans="1:19" x14ac:dyDescent="0.25">
      <c r="H15" s="60" t="s">
        <v>539</v>
      </c>
      <c r="I15" s="58">
        <f>SUM(L8+L6)</f>
        <v>134369</v>
      </c>
      <c r="J15" s="58">
        <f>SUM(L8+L6)-(Q8+Q6)</f>
        <v>103184.5</v>
      </c>
    </row>
    <row r="16" spans="1:19" x14ac:dyDescent="0.25">
      <c r="H16" s="85" t="s">
        <v>556</v>
      </c>
      <c r="I16" s="84">
        <f>SUM(I12:I15)</f>
        <v>738244</v>
      </c>
      <c r="J16" s="82">
        <f>SUM(J12:J15)</f>
        <v>541680.86</v>
      </c>
    </row>
    <row r="17" spans="10:11" x14ac:dyDescent="0.25">
      <c r="J17" s="89" t="s">
        <v>557</v>
      </c>
      <c r="K17" s="90">
        <f>SUM(I16-J16)</f>
        <v>196563.14</v>
      </c>
    </row>
  </sheetData>
  <autoFilter ref="A1:S10"/>
  <sortState ref="A3:R10">
    <sortCondition ref="B3:B10"/>
  </sortState>
  <pageMargins left="0.7" right="0.7" top="0.75" bottom="0.75" header="0.3" footer="0.3"/>
  <pageSetup orientation="portrait"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
  <sheetViews>
    <sheetView workbookViewId="0">
      <pane ySplit="1" topLeftCell="A6" activePane="bottomLeft" state="frozen"/>
      <selection pane="bottomLeft" activeCell="E7" sqref="E7"/>
    </sheetView>
  </sheetViews>
  <sheetFormatPr defaultRowHeight="15" x14ac:dyDescent="0.25"/>
  <cols>
    <col min="1" max="1" width="13" customWidth="1"/>
    <col min="2" max="2" width="13.28515625" customWidth="1"/>
    <col min="3" max="3" width="18.85546875" customWidth="1"/>
    <col min="4" max="4" width="13" customWidth="1"/>
    <col min="5" max="5" width="15.7109375" style="6" customWidth="1"/>
    <col min="6" max="6" width="10.85546875" customWidth="1"/>
    <col min="7" max="7" width="16.140625" customWidth="1"/>
    <col min="8" max="8" width="18.42578125" customWidth="1"/>
    <col min="9" max="9" width="11.7109375" customWidth="1"/>
    <col min="10" max="10" width="11.42578125" customWidth="1"/>
    <col min="13" max="13" width="10.5703125" customWidth="1"/>
    <col min="14" max="14" width="13.42578125" style="58" customWidth="1"/>
    <col min="15" max="15" width="10.140625" customWidth="1"/>
    <col min="17" max="17" width="14.42578125" customWidth="1"/>
    <col min="18" max="18" width="11.85546875" customWidth="1"/>
    <col min="19" max="19" width="23.42578125" customWidth="1"/>
  </cols>
  <sheetData>
    <row r="1" spans="1:19" s="62" customFormat="1" ht="75" customHeight="1" x14ac:dyDescent="0.25">
      <c r="A1" s="78" t="s">
        <v>0</v>
      </c>
      <c r="B1" s="78" t="s">
        <v>1</v>
      </c>
      <c r="C1" s="78" t="s">
        <v>2</v>
      </c>
      <c r="D1" s="78" t="s">
        <v>3</v>
      </c>
      <c r="E1" s="78" t="s">
        <v>4</v>
      </c>
      <c r="F1" s="78" t="s">
        <v>5</v>
      </c>
      <c r="G1" s="78" t="s">
        <v>6</v>
      </c>
      <c r="H1" s="78" t="s">
        <v>7</v>
      </c>
      <c r="I1" s="78" t="s">
        <v>8</v>
      </c>
      <c r="J1" s="78" t="s">
        <v>519</v>
      </c>
      <c r="K1" s="78" t="s">
        <v>9</v>
      </c>
      <c r="L1" s="78" t="s">
        <v>10</v>
      </c>
      <c r="M1" s="78" t="s">
        <v>9</v>
      </c>
      <c r="N1" s="142" t="s">
        <v>520</v>
      </c>
      <c r="O1" s="78" t="s">
        <v>9</v>
      </c>
      <c r="P1" s="70" t="s">
        <v>552</v>
      </c>
      <c r="Q1" s="70" t="s">
        <v>555</v>
      </c>
      <c r="R1" s="78" t="s">
        <v>9</v>
      </c>
      <c r="S1" s="78" t="s">
        <v>12</v>
      </c>
    </row>
    <row r="2" spans="1:19" s="126" customFormat="1" ht="62.25" customHeight="1" x14ac:dyDescent="0.25">
      <c r="A2" s="4" t="s">
        <v>561</v>
      </c>
      <c r="B2" s="9" t="s">
        <v>562</v>
      </c>
      <c r="C2" s="9" t="s">
        <v>64</v>
      </c>
      <c r="D2" s="122" t="s">
        <v>563</v>
      </c>
      <c r="E2" s="9" t="s">
        <v>564</v>
      </c>
      <c r="F2" s="122" t="s">
        <v>565</v>
      </c>
      <c r="G2" s="17" t="s">
        <v>566</v>
      </c>
      <c r="H2" s="17" t="s">
        <v>567</v>
      </c>
      <c r="I2" s="122" t="s">
        <v>19</v>
      </c>
      <c r="J2" s="124">
        <v>1134</v>
      </c>
      <c r="K2" s="125" t="s">
        <v>30</v>
      </c>
      <c r="L2" s="124" t="s">
        <v>76</v>
      </c>
      <c r="M2" s="125" t="s">
        <v>20</v>
      </c>
      <c r="N2" s="124" t="s">
        <v>76</v>
      </c>
      <c r="O2" s="125" t="s">
        <v>20</v>
      </c>
      <c r="P2" s="125" t="s">
        <v>764</v>
      </c>
      <c r="Q2" s="125" t="s">
        <v>49</v>
      </c>
      <c r="R2" s="125" t="s">
        <v>20</v>
      </c>
      <c r="S2" s="9"/>
    </row>
    <row r="3" spans="1:19" s="1" customFormat="1" ht="62.25" customHeight="1" x14ac:dyDescent="0.25">
      <c r="A3" s="4" t="s">
        <v>569</v>
      </c>
      <c r="B3" s="9" t="s">
        <v>570</v>
      </c>
      <c r="C3" s="9" t="s">
        <v>15</v>
      </c>
      <c r="D3" s="122" t="s">
        <v>563</v>
      </c>
      <c r="E3" s="9" t="s">
        <v>571</v>
      </c>
      <c r="F3" s="122" t="s">
        <v>572</v>
      </c>
      <c r="G3" s="17" t="s">
        <v>573</v>
      </c>
      <c r="H3" s="17" t="s">
        <v>112</v>
      </c>
      <c r="I3" s="122" t="s">
        <v>19</v>
      </c>
      <c r="J3" s="125">
        <v>50</v>
      </c>
      <c r="K3" s="125" t="s">
        <v>574</v>
      </c>
      <c r="L3" s="124">
        <v>200</v>
      </c>
      <c r="M3" s="125" t="s">
        <v>55</v>
      </c>
      <c r="N3" s="124">
        <v>200</v>
      </c>
      <c r="O3" s="125" t="s">
        <v>55</v>
      </c>
      <c r="P3" s="125" t="s">
        <v>764</v>
      </c>
      <c r="Q3" s="124">
        <v>0</v>
      </c>
      <c r="R3" s="125" t="s">
        <v>20</v>
      </c>
      <c r="S3" s="9" t="s">
        <v>575</v>
      </c>
    </row>
    <row r="4" spans="1:19" s="1" customFormat="1" ht="62.25" customHeight="1" x14ac:dyDescent="0.25">
      <c r="A4" s="4" t="s">
        <v>576</v>
      </c>
      <c r="B4" s="9" t="s">
        <v>577</v>
      </c>
      <c r="C4" s="9" t="s">
        <v>33</v>
      </c>
      <c r="D4" s="122" t="s">
        <v>563</v>
      </c>
      <c r="E4" s="138" t="s">
        <v>578</v>
      </c>
      <c r="F4" s="122" t="s">
        <v>579</v>
      </c>
      <c r="G4" s="9" t="s">
        <v>580</v>
      </c>
      <c r="H4" s="17" t="s">
        <v>138</v>
      </c>
      <c r="I4" s="122" t="s">
        <v>19</v>
      </c>
      <c r="J4" s="125">
        <v>78</v>
      </c>
      <c r="K4" s="125" t="s">
        <v>581</v>
      </c>
      <c r="L4" s="124">
        <v>2250</v>
      </c>
      <c r="M4" s="125" t="s">
        <v>20</v>
      </c>
      <c r="N4" s="124">
        <v>2250</v>
      </c>
      <c r="O4" s="125" t="s">
        <v>20</v>
      </c>
      <c r="P4" s="125" t="s">
        <v>764</v>
      </c>
      <c r="Q4" s="125">
        <v>0</v>
      </c>
      <c r="R4" s="125" t="s">
        <v>20</v>
      </c>
      <c r="S4" s="9" t="s">
        <v>582</v>
      </c>
    </row>
    <row r="5" spans="1:19" s="1" customFormat="1" ht="62.25" customHeight="1" x14ac:dyDescent="0.25">
      <c r="A5" s="4" t="s">
        <v>583</v>
      </c>
      <c r="B5" s="9" t="s">
        <v>584</v>
      </c>
      <c r="C5" s="9" t="s">
        <v>15</v>
      </c>
      <c r="D5" s="122" t="s">
        <v>563</v>
      </c>
      <c r="E5" s="9" t="s">
        <v>585</v>
      </c>
      <c r="F5" s="122" t="s">
        <v>579</v>
      </c>
      <c r="G5" s="9" t="s">
        <v>586</v>
      </c>
      <c r="H5" s="17" t="s">
        <v>112</v>
      </c>
      <c r="I5" s="122" t="s">
        <v>19</v>
      </c>
      <c r="J5" s="125">
        <v>263</v>
      </c>
      <c r="K5" s="125" t="s">
        <v>587</v>
      </c>
      <c r="L5" s="124">
        <v>4575</v>
      </c>
      <c r="M5" s="125" t="s">
        <v>20</v>
      </c>
      <c r="N5" s="124" t="s">
        <v>76</v>
      </c>
      <c r="O5" s="125" t="s">
        <v>76</v>
      </c>
      <c r="P5" s="125" t="s">
        <v>764</v>
      </c>
      <c r="Q5" s="125">
        <v>0</v>
      </c>
      <c r="R5" s="125" t="s">
        <v>20</v>
      </c>
      <c r="S5" s="9" t="s">
        <v>765</v>
      </c>
    </row>
    <row r="6" spans="1:19" s="1" customFormat="1" ht="62.25" customHeight="1" x14ac:dyDescent="0.25">
      <c r="A6" s="4" t="s">
        <v>588</v>
      </c>
      <c r="B6" s="9" t="s">
        <v>589</v>
      </c>
      <c r="C6" s="9" t="s">
        <v>15</v>
      </c>
      <c r="D6" s="122" t="s">
        <v>563</v>
      </c>
      <c r="E6" s="9" t="s">
        <v>590</v>
      </c>
      <c r="F6" s="122" t="s">
        <v>591</v>
      </c>
      <c r="G6" s="9" t="s">
        <v>592</v>
      </c>
      <c r="H6" s="17" t="s">
        <v>112</v>
      </c>
      <c r="I6" s="122" t="s">
        <v>19</v>
      </c>
      <c r="J6" s="125">
        <v>200</v>
      </c>
      <c r="K6" s="125" t="s">
        <v>593</v>
      </c>
      <c r="L6" s="124">
        <v>1500</v>
      </c>
      <c r="M6" s="125" t="s">
        <v>594</v>
      </c>
      <c r="N6" s="124">
        <v>1500</v>
      </c>
      <c r="O6" s="125" t="s">
        <v>20</v>
      </c>
      <c r="P6" s="125" t="s">
        <v>764</v>
      </c>
      <c r="Q6" s="124">
        <v>0</v>
      </c>
      <c r="R6" s="125" t="s">
        <v>20</v>
      </c>
      <c r="S6" s="9" t="s">
        <v>582</v>
      </c>
    </row>
    <row r="7" spans="1:19" s="1" customFormat="1" ht="62.25" customHeight="1" x14ac:dyDescent="0.25">
      <c r="A7" s="4" t="s">
        <v>595</v>
      </c>
      <c r="B7" s="9" t="s">
        <v>596</v>
      </c>
      <c r="C7" s="9" t="s">
        <v>15</v>
      </c>
      <c r="D7" s="122" t="s">
        <v>563</v>
      </c>
      <c r="E7" s="9" t="s">
        <v>597</v>
      </c>
      <c r="F7" s="122" t="s">
        <v>565</v>
      </c>
      <c r="G7" s="17" t="s">
        <v>598</v>
      </c>
      <c r="H7" s="17" t="s">
        <v>599</v>
      </c>
      <c r="I7" s="122" t="s">
        <v>19</v>
      </c>
      <c r="J7" s="125">
        <v>200</v>
      </c>
      <c r="K7" s="125" t="s">
        <v>593</v>
      </c>
      <c r="L7" s="124">
        <v>50000</v>
      </c>
      <c r="M7" s="125" t="s">
        <v>594</v>
      </c>
      <c r="N7" s="124">
        <v>50000</v>
      </c>
      <c r="O7" s="125" t="s">
        <v>20</v>
      </c>
      <c r="P7" s="125" t="s">
        <v>764</v>
      </c>
      <c r="Q7" s="124">
        <v>0</v>
      </c>
      <c r="R7" s="125" t="s">
        <v>20</v>
      </c>
      <c r="S7" s="9" t="s">
        <v>575</v>
      </c>
    </row>
    <row r="8" spans="1:19" s="1" customFormat="1" ht="62.25" customHeight="1" x14ac:dyDescent="0.25">
      <c r="A8" s="4" t="s">
        <v>600</v>
      </c>
      <c r="B8" s="9" t="s">
        <v>601</v>
      </c>
      <c r="C8" s="9" t="s">
        <v>15</v>
      </c>
      <c r="D8" s="122" t="s">
        <v>563</v>
      </c>
      <c r="E8" s="9" t="s">
        <v>602</v>
      </c>
      <c r="F8" s="122" t="s">
        <v>565</v>
      </c>
      <c r="G8" s="17" t="s">
        <v>603</v>
      </c>
      <c r="H8" s="17" t="s">
        <v>138</v>
      </c>
      <c r="I8" s="122" t="s">
        <v>19</v>
      </c>
      <c r="J8" s="125">
        <v>30</v>
      </c>
      <c r="K8" s="125" t="s">
        <v>593</v>
      </c>
      <c r="L8" s="124">
        <v>1200</v>
      </c>
      <c r="M8" s="125" t="s">
        <v>594</v>
      </c>
      <c r="N8" s="124">
        <v>1200</v>
      </c>
      <c r="O8" s="125" t="s">
        <v>20</v>
      </c>
      <c r="P8" s="125" t="s">
        <v>764</v>
      </c>
      <c r="Q8" s="124">
        <v>0</v>
      </c>
      <c r="R8" s="125" t="s">
        <v>20</v>
      </c>
      <c r="S8" s="9" t="s">
        <v>575</v>
      </c>
    </row>
    <row r="9" spans="1:19" s="1" customFormat="1" ht="62.25" customHeight="1" x14ac:dyDescent="0.25">
      <c r="A9" s="4" t="s">
        <v>604</v>
      </c>
      <c r="B9" s="9" t="s">
        <v>605</v>
      </c>
      <c r="C9" s="9" t="s">
        <v>15</v>
      </c>
      <c r="D9" s="122" t="s">
        <v>563</v>
      </c>
      <c r="E9" s="9" t="s">
        <v>606</v>
      </c>
      <c r="F9" s="122" t="s">
        <v>607</v>
      </c>
      <c r="G9" s="17" t="s">
        <v>608</v>
      </c>
      <c r="H9" s="17" t="s">
        <v>112</v>
      </c>
      <c r="I9" s="122" t="s">
        <v>19</v>
      </c>
      <c r="J9" s="125">
        <v>200</v>
      </c>
      <c r="K9" s="125" t="s">
        <v>593</v>
      </c>
      <c r="L9" s="124">
        <v>36500</v>
      </c>
      <c r="M9" s="125" t="s">
        <v>594</v>
      </c>
      <c r="N9" s="124">
        <v>36500</v>
      </c>
      <c r="O9" s="125" t="s">
        <v>20</v>
      </c>
      <c r="P9" s="125" t="s">
        <v>764</v>
      </c>
      <c r="Q9" s="125">
        <v>0</v>
      </c>
      <c r="R9" s="125" t="s">
        <v>20</v>
      </c>
      <c r="S9" s="9" t="s">
        <v>582</v>
      </c>
    </row>
    <row r="10" spans="1:19" s="1" customFormat="1" ht="62.25" customHeight="1" x14ac:dyDescent="0.25">
      <c r="A10" s="4" t="s">
        <v>609</v>
      </c>
      <c r="B10" s="9" t="s">
        <v>610</v>
      </c>
      <c r="C10" s="5" t="s">
        <v>186</v>
      </c>
      <c r="D10" s="122" t="s">
        <v>563</v>
      </c>
      <c r="E10" s="9" t="s">
        <v>611</v>
      </c>
      <c r="F10" s="122" t="s">
        <v>565</v>
      </c>
      <c r="G10" s="17" t="s">
        <v>612</v>
      </c>
      <c r="H10" s="17" t="s">
        <v>112</v>
      </c>
      <c r="I10" s="122" t="s">
        <v>19</v>
      </c>
      <c r="J10" s="125">
        <v>500</v>
      </c>
      <c r="K10" s="125" t="s">
        <v>593</v>
      </c>
      <c r="L10" s="124" t="s">
        <v>236</v>
      </c>
      <c r="M10" s="125" t="s">
        <v>236</v>
      </c>
      <c r="N10" s="124" t="s">
        <v>236</v>
      </c>
      <c r="O10" s="125" t="s">
        <v>236</v>
      </c>
      <c r="P10" s="125" t="s">
        <v>764</v>
      </c>
      <c r="Q10" s="125">
        <v>0</v>
      </c>
      <c r="R10" s="125" t="s">
        <v>20</v>
      </c>
      <c r="S10" s="9"/>
    </row>
    <row r="11" spans="1:19" x14ac:dyDescent="0.25">
      <c r="L11" s="58">
        <f>SUM(L2:L10)</f>
        <v>96225</v>
      </c>
      <c r="Q11">
        <f>SUM(Q4:Q10)</f>
        <v>0</v>
      </c>
    </row>
    <row r="12" spans="1:19" ht="30" x14ac:dyDescent="0.25">
      <c r="I12" s="83" t="s">
        <v>540</v>
      </c>
      <c r="J12" s="62" t="s">
        <v>541</v>
      </c>
    </row>
    <row r="13" spans="1:19" x14ac:dyDescent="0.25">
      <c r="H13" s="60" t="s">
        <v>80</v>
      </c>
      <c r="I13" s="58">
        <v>0</v>
      </c>
      <c r="J13" s="58">
        <f>SUM(M6)</f>
        <v>0</v>
      </c>
    </row>
    <row r="14" spans="1:19" x14ac:dyDescent="0.25">
      <c r="H14" s="60" t="s">
        <v>138</v>
      </c>
      <c r="I14" s="58">
        <f>SUM(L3+L4+L5+L6+L7+L8+L9)</f>
        <v>96225</v>
      </c>
      <c r="J14" s="58">
        <f>SUM((L3+L4+L5+L6+L7+L8+L9)-(Q3+Q4+Q5+Q6+Q7+Q8+Q9+Q10))</f>
        <v>96225</v>
      </c>
    </row>
    <row r="15" spans="1:19" x14ac:dyDescent="0.25">
      <c r="H15" s="60" t="s">
        <v>538</v>
      </c>
      <c r="I15" s="58">
        <f>SUM(L2)</f>
        <v>0</v>
      </c>
      <c r="J15" s="58">
        <v>0</v>
      </c>
    </row>
    <row r="16" spans="1:19" x14ac:dyDescent="0.25">
      <c r="H16" s="60" t="s">
        <v>539</v>
      </c>
      <c r="I16" s="58">
        <f>SUM(L9+L7)</f>
        <v>86500</v>
      </c>
      <c r="J16" s="58">
        <f>SUM(L9+L7)-(Q9+Q7)</f>
        <v>86500</v>
      </c>
    </row>
    <row r="17" spans="8:11" x14ac:dyDescent="0.25">
      <c r="H17" s="85" t="s">
        <v>556</v>
      </c>
      <c r="I17" s="84">
        <f>SUM(I13:I16)</f>
        <v>182725</v>
      </c>
      <c r="J17" s="82">
        <f>SUM(J13:J16)</f>
        <v>182725</v>
      </c>
    </row>
    <row r="18" spans="8:11" ht="30" x14ac:dyDescent="0.25">
      <c r="J18" s="89" t="s">
        <v>557</v>
      </c>
      <c r="K18" s="90">
        <f>SUM(I17-J17)</f>
        <v>0</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
  <sheetViews>
    <sheetView zoomScale="80" zoomScaleNormal="80" workbookViewId="0">
      <pane xSplit="2" ySplit="1" topLeftCell="C6" activePane="bottomRight" state="frozen"/>
      <selection pane="topRight" activeCell="C1" sqref="C1"/>
      <selection pane="bottomLeft" activeCell="A2" sqref="A2"/>
      <selection pane="bottomRight" activeCell="G7" sqref="G7"/>
    </sheetView>
  </sheetViews>
  <sheetFormatPr defaultRowHeight="15" x14ac:dyDescent="0.25"/>
  <cols>
    <col min="1" max="1" width="13.42578125" bestFit="1" customWidth="1"/>
    <col min="2" max="2" width="48" bestFit="1" customWidth="1"/>
    <col min="3" max="3" width="40.5703125" bestFit="1" customWidth="1"/>
    <col min="5" max="5" width="25.28515625" bestFit="1" customWidth="1"/>
    <col min="7" max="7" width="41.85546875" customWidth="1"/>
    <col min="8" max="8" width="28.140625" style="6" customWidth="1"/>
    <col min="9" max="9" width="17.7109375" bestFit="1" customWidth="1"/>
    <col min="10" max="10" width="19.140625" customWidth="1"/>
    <col min="11" max="11" width="15.140625" bestFit="1" customWidth="1"/>
    <col min="12" max="12" width="15" bestFit="1" customWidth="1"/>
    <col min="13" max="13" width="20.5703125" bestFit="1" customWidth="1"/>
    <col min="14" max="14" width="20.42578125" customWidth="1"/>
    <col min="16" max="16" width="10.7109375" style="72" customWidth="1"/>
    <col min="17" max="17" width="18.5703125" bestFit="1" customWidth="1"/>
    <col min="19" max="19" width="80.7109375" customWidth="1"/>
  </cols>
  <sheetData>
    <row r="1" spans="1:19" s="2" customFormat="1" ht="45" x14ac:dyDescent="0.25">
      <c r="A1" s="77" t="s">
        <v>0</v>
      </c>
      <c r="B1" s="77" t="s">
        <v>1</v>
      </c>
      <c r="C1" s="77" t="s">
        <v>2</v>
      </c>
      <c r="D1" s="77" t="s">
        <v>3</v>
      </c>
      <c r="E1" s="77" t="s">
        <v>4</v>
      </c>
      <c r="F1" s="77" t="s">
        <v>5</v>
      </c>
      <c r="G1" s="77" t="s">
        <v>6</v>
      </c>
      <c r="H1" s="78" t="s">
        <v>7</v>
      </c>
      <c r="I1" s="77" t="s">
        <v>8</v>
      </c>
      <c r="J1" s="78" t="s">
        <v>519</v>
      </c>
      <c r="K1" s="77" t="s">
        <v>9</v>
      </c>
      <c r="L1" s="77" t="s">
        <v>10</v>
      </c>
      <c r="M1" s="77" t="s">
        <v>9</v>
      </c>
      <c r="N1" s="78" t="s">
        <v>520</v>
      </c>
      <c r="O1" s="77" t="s">
        <v>9</v>
      </c>
      <c r="P1" s="70" t="s">
        <v>552</v>
      </c>
      <c r="Q1" s="70" t="s">
        <v>555</v>
      </c>
      <c r="R1" s="77" t="s">
        <v>9</v>
      </c>
      <c r="S1" s="77" t="s">
        <v>12</v>
      </c>
    </row>
    <row r="2" spans="1:19" s="1" customFormat="1" ht="105" x14ac:dyDescent="0.25">
      <c r="A2" s="4" t="s">
        <v>236</v>
      </c>
      <c r="B2" s="20" t="s">
        <v>261</v>
      </c>
      <c r="C2" s="4" t="s">
        <v>468</v>
      </c>
      <c r="D2" s="4" t="s">
        <v>187</v>
      </c>
      <c r="E2" s="4" t="s">
        <v>236</v>
      </c>
      <c r="F2" s="4" t="s">
        <v>187</v>
      </c>
      <c r="G2" s="9" t="s">
        <v>481</v>
      </c>
      <c r="H2" s="9" t="s">
        <v>143</v>
      </c>
      <c r="I2" s="4" t="s">
        <v>469</v>
      </c>
      <c r="J2" s="15">
        <v>91000</v>
      </c>
      <c r="K2" s="4" t="s">
        <v>20</v>
      </c>
      <c r="L2" s="15">
        <v>91000</v>
      </c>
      <c r="M2" s="4" t="s">
        <v>20</v>
      </c>
      <c r="N2" s="4" t="s">
        <v>236</v>
      </c>
      <c r="O2" s="4"/>
      <c r="P2" s="17" t="s">
        <v>554</v>
      </c>
      <c r="Q2" s="4" t="s">
        <v>236</v>
      </c>
      <c r="R2" s="4"/>
      <c r="S2" s="9" t="s">
        <v>470</v>
      </c>
    </row>
    <row r="3" spans="1:19" s="1" customFormat="1" ht="90" x14ac:dyDescent="0.25">
      <c r="A3" s="4" t="s">
        <v>236</v>
      </c>
      <c r="B3" s="5" t="s">
        <v>478</v>
      </c>
      <c r="C3" s="4" t="s">
        <v>479</v>
      </c>
      <c r="D3" s="4" t="s">
        <v>187</v>
      </c>
      <c r="E3" s="3" t="s">
        <v>480</v>
      </c>
      <c r="F3" s="4" t="s">
        <v>187</v>
      </c>
      <c r="G3" s="5" t="s">
        <v>482</v>
      </c>
      <c r="H3" s="5" t="s">
        <v>423</v>
      </c>
      <c r="I3" s="3" t="s">
        <v>19</v>
      </c>
      <c r="J3" s="3" t="s">
        <v>236</v>
      </c>
      <c r="K3" s="3"/>
      <c r="L3" s="3" t="s">
        <v>236</v>
      </c>
      <c r="M3" s="3"/>
      <c r="N3" s="3" t="s">
        <v>76</v>
      </c>
      <c r="O3" s="3"/>
      <c r="P3" s="17" t="s">
        <v>554</v>
      </c>
      <c r="Q3" s="3" t="s">
        <v>76</v>
      </c>
      <c r="R3" s="3"/>
      <c r="S3" s="9" t="s">
        <v>483</v>
      </c>
    </row>
    <row r="4" spans="1:19" s="1" customFormat="1" ht="45" x14ac:dyDescent="0.25">
      <c r="A4" s="4" t="s">
        <v>182</v>
      </c>
      <c r="B4" s="4" t="s">
        <v>183</v>
      </c>
      <c r="C4" s="4" t="s">
        <v>264</v>
      </c>
      <c r="D4" s="4" t="s">
        <v>187</v>
      </c>
      <c r="E4" s="4" t="s">
        <v>269</v>
      </c>
      <c r="F4" s="4" t="s">
        <v>187</v>
      </c>
      <c r="G4" s="9" t="s">
        <v>334</v>
      </c>
      <c r="H4" s="9" t="s">
        <v>93</v>
      </c>
      <c r="I4" s="4" t="s">
        <v>19</v>
      </c>
      <c r="J4" s="15">
        <v>47250</v>
      </c>
      <c r="K4" s="4" t="s">
        <v>20</v>
      </c>
      <c r="L4" s="63">
        <v>47250</v>
      </c>
      <c r="M4" s="4" t="s">
        <v>542</v>
      </c>
      <c r="N4" s="4" t="s">
        <v>76</v>
      </c>
      <c r="O4" s="4"/>
      <c r="P4" s="17" t="s">
        <v>554</v>
      </c>
      <c r="Q4" s="4">
        <v>0</v>
      </c>
      <c r="R4" s="4" t="s">
        <v>30</v>
      </c>
      <c r="S4" s="16" t="s">
        <v>427</v>
      </c>
    </row>
    <row r="5" spans="1:19" s="1" customFormat="1" ht="105" x14ac:dyDescent="0.25">
      <c r="A5" s="4" t="s">
        <v>180</v>
      </c>
      <c r="B5" s="4" t="s">
        <v>181</v>
      </c>
      <c r="C5" s="4" t="s">
        <v>186</v>
      </c>
      <c r="D5" s="4" t="s">
        <v>187</v>
      </c>
      <c r="E5" s="4" t="s">
        <v>268</v>
      </c>
      <c r="F5" s="4" t="s">
        <v>187</v>
      </c>
      <c r="G5" s="9" t="s">
        <v>333</v>
      </c>
      <c r="H5" s="9" t="s">
        <v>138</v>
      </c>
      <c r="I5" s="4" t="s">
        <v>19</v>
      </c>
      <c r="J5" s="15">
        <v>156000</v>
      </c>
      <c r="K5" s="4" t="s">
        <v>20</v>
      </c>
      <c r="L5" s="15">
        <v>182000</v>
      </c>
      <c r="M5" s="4" t="s">
        <v>20</v>
      </c>
      <c r="N5" s="4">
        <v>500</v>
      </c>
      <c r="O5" s="4" t="s">
        <v>30</v>
      </c>
      <c r="P5" s="17" t="s">
        <v>554</v>
      </c>
      <c r="Q5" s="4">
        <v>0</v>
      </c>
      <c r="R5" s="4" t="s">
        <v>30</v>
      </c>
      <c r="S5" s="17" t="s">
        <v>521</v>
      </c>
    </row>
    <row r="6" spans="1:19" s="1" customFormat="1" ht="60" x14ac:dyDescent="0.25">
      <c r="A6" s="4" t="s">
        <v>184</v>
      </c>
      <c r="B6" s="4" t="s">
        <v>185</v>
      </c>
      <c r="C6" s="4" t="s">
        <v>28</v>
      </c>
      <c r="D6" s="4" t="s">
        <v>187</v>
      </c>
      <c r="E6" s="4" t="s">
        <v>270</v>
      </c>
      <c r="F6" s="4" t="s">
        <v>271</v>
      </c>
      <c r="G6" s="9" t="s">
        <v>335</v>
      </c>
      <c r="H6" s="9" t="s">
        <v>25</v>
      </c>
      <c r="I6" s="4" t="s">
        <v>19</v>
      </c>
      <c r="J6" s="15">
        <v>50000</v>
      </c>
      <c r="K6" s="4" t="s">
        <v>20</v>
      </c>
      <c r="L6" s="15">
        <v>50000</v>
      </c>
      <c r="M6" s="4" t="s">
        <v>20</v>
      </c>
      <c r="N6" s="4" t="s">
        <v>76</v>
      </c>
      <c r="O6" s="4"/>
      <c r="P6" s="17" t="s">
        <v>554</v>
      </c>
      <c r="Q6" s="4">
        <v>0</v>
      </c>
      <c r="R6" s="4" t="s">
        <v>30</v>
      </c>
      <c r="S6" s="16" t="s">
        <v>428</v>
      </c>
    </row>
    <row r="7" spans="1:19" ht="105" x14ac:dyDescent="0.25">
      <c r="A7" s="4" t="s">
        <v>179</v>
      </c>
      <c r="B7" s="4" t="s">
        <v>768</v>
      </c>
      <c r="C7" s="4" t="s">
        <v>44</v>
      </c>
      <c r="D7" s="4" t="s">
        <v>187</v>
      </c>
      <c r="E7" s="4" t="s">
        <v>265</v>
      </c>
      <c r="F7" s="4" t="s">
        <v>266</v>
      </c>
      <c r="G7" s="9" t="s">
        <v>332</v>
      </c>
      <c r="H7" s="9" t="s">
        <v>308</v>
      </c>
      <c r="I7" s="4" t="s">
        <v>19</v>
      </c>
      <c r="J7" s="15">
        <v>110500</v>
      </c>
      <c r="K7" s="4" t="s">
        <v>20</v>
      </c>
      <c r="L7" s="64">
        <v>109343</v>
      </c>
      <c r="M7" s="20" t="s">
        <v>20</v>
      </c>
      <c r="N7" s="4" t="s">
        <v>76</v>
      </c>
      <c r="O7" s="4"/>
      <c r="P7" s="17" t="s">
        <v>554</v>
      </c>
      <c r="Q7" s="4">
        <v>0</v>
      </c>
      <c r="R7" s="4" t="s">
        <v>30</v>
      </c>
      <c r="S7" s="17" t="s">
        <v>769</v>
      </c>
    </row>
    <row r="8" spans="1:19" x14ac:dyDescent="0.25">
      <c r="L8" s="58">
        <f>SUM(L2:L7)</f>
        <v>479593</v>
      </c>
      <c r="P8" s="73"/>
    </row>
    <row r="9" spans="1:19" x14ac:dyDescent="0.25">
      <c r="H9"/>
      <c r="I9" s="18" t="s">
        <v>540</v>
      </c>
      <c r="J9" s="62" t="s">
        <v>541</v>
      </c>
      <c r="P9" s="74"/>
      <c r="Q9">
        <f>SUM(Q2:Q7)</f>
        <v>0</v>
      </c>
    </row>
    <row r="10" spans="1:19" x14ac:dyDescent="0.25">
      <c r="H10" s="60" t="s">
        <v>80</v>
      </c>
      <c r="I10" s="58">
        <f>SUM(L3)</f>
        <v>0</v>
      </c>
      <c r="J10" s="58">
        <v>0</v>
      </c>
      <c r="P10" s="74"/>
    </row>
    <row r="11" spans="1:19" x14ac:dyDescent="0.25">
      <c r="H11" s="60" t="s">
        <v>138</v>
      </c>
      <c r="I11" s="58">
        <f>SUM(L4+L5)</f>
        <v>229250</v>
      </c>
      <c r="J11" s="58">
        <f>SUM((L4+L5)-(Q4+Q5))</f>
        <v>229250</v>
      </c>
      <c r="P11" s="74"/>
    </row>
    <row r="12" spans="1:19" x14ac:dyDescent="0.25">
      <c r="H12" s="60" t="s">
        <v>538</v>
      </c>
      <c r="I12" s="58">
        <f>SUM(L7+L2)</f>
        <v>200343</v>
      </c>
      <c r="J12" s="58">
        <f>SUM((L7+L2)-(Q7))</f>
        <v>200343</v>
      </c>
      <c r="P12" s="74"/>
    </row>
    <row r="13" spans="1:19" x14ac:dyDescent="0.25">
      <c r="H13" s="60" t="s">
        <v>539</v>
      </c>
      <c r="I13" s="58">
        <f>SUM(L6)</f>
        <v>50000</v>
      </c>
      <c r="J13" s="58">
        <f>SUM((L6)-(Q6))</f>
        <v>50000</v>
      </c>
      <c r="P13" s="74"/>
    </row>
    <row r="14" spans="1:19" x14ac:dyDescent="0.25">
      <c r="H14" s="62" t="s">
        <v>556</v>
      </c>
      <c r="I14" s="84">
        <f>SUM(I10:I13)</f>
        <v>479593</v>
      </c>
      <c r="J14" s="84">
        <f>SUM(J10:J13)</f>
        <v>479593</v>
      </c>
    </row>
    <row r="15" spans="1:19" x14ac:dyDescent="0.25">
      <c r="I15" s="58"/>
      <c r="J15" s="89" t="s">
        <v>557</v>
      </c>
      <c r="K15" s="90">
        <f>SUM(I14-J14)</f>
        <v>0</v>
      </c>
    </row>
  </sheetData>
  <autoFilter ref="A1:S7"/>
  <sortState ref="A2:R7">
    <sortCondition ref="B2:B7"/>
  </sortState>
  <pageMargins left="0.7" right="0.7" top="0.75" bottom="0.75" header="0.3" footer="0.3"/>
  <pageSetup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4"/>
  <sheetViews>
    <sheetView zoomScale="70" zoomScaleNormal="70" workbookViewId="0">
      <pane xSplit="2" ySplit="1" topLeftCell="L2" activePane="bottomRight" state="frozen"/>
      <selection pane="topRight" activeCell="C1" sqref="C1"/>
      <selection pane="bottomLeft" activeCell="A2" sqref="A2"/>
      <selection pane="bottomRight" activeCell="S3" sqref="S3"/>
    </sheetView>
  </sheetViews>
  <sheetFormatPr defaultRowHeight="15" x14ac:dyDescent="0.25"/>
  <cols>
    <col min="1" max="1" width="13.42578125" bestFit="1" customWidth="1"/>
    <col min="2" max="2" width="27.7109375" bestFit="1" customWidth="1"/>
    <col min="3" max="3" width="32.7109375" bestFit="1" customWidth="1"/>
    <col min="5" max="5" width="26.5703125" customWidth="1"/>
    <col min="6" max="6" width="16" customWidth="1"/>
    <col min="7" max="7" width="30.42578125" customWidth="1"/>
    <col min="8" max="8" width="24.7109375" customWidth="1"/>
    <col min="9" max="9" width="21.140625" customWidth="1"/>
    <col min="10" max="11" width="18.28515625" customWidth="1"/>
    <col min="12" max="12" width="15" bestFit="1" customWidth="1"/>
    <col min="13" max="13" width="20.5703125" bestFit="1" customWidth="1"/>
    <col min="14" max="14" width="20.140625" customWidth="1"/>
    <col min="16" max="16" width="10.7109375" style="72" customWidth="1"/>
    <col min="17" max="17" width="18.5703125" bestFit="1" customWidth="1"/>
    <col min="19" max="19" width="60.7109375" customWidth="1"/>
  </cols>
  <sheetData>
    <row r="1" spans="1:19" s="2" customFormat="1" ht="45" x14ac:dyDescent="0.25">
      <c r="A1" s="77" t="s">
        <v>0</v>
      </c>
      <c r="B1" s="77" t="s">
        <v>1</v>
      </c>
      <c r="C1" s="77" t="s">
        <v>2</v>
      </c>
      <c r="D1" s="77" t="s">
        <v>3</v>
      </c>
      <c r="E1" s="77" t="s">
        <v>4</v>
      </c>
      <c r="F1" s="77" t="s">
        <v>5</v>
      </c>
      <c r="G1" s="77" t="s">
        <v>6</v>
      </c>
      <c r="H1" s="77" t="s">
        <v>7</v>
      </c>
      <c r="I1" s="77" t="s">
        <v>8</v>
      </c>
      <c r="J1" s="78" t="s">
        <v>519</v>
      </c>
      <c r="K1" s="77" t="s">
        <v>9</v>
      </c>
      <c r="L1" s="77" t="s">
        <v>10</v>
      </c>
      <c r="M1" s="77" t="s">
        <v>9</v>
      </c>
      <c r="N1" s="78" t="s">
        <v>520</v>
      </c>
      <c r="O1" s="77" t="s">
        <v>9</v>
      </c>
      <c r="P1" s="70" t="s">
        <v>552</v>
      </c>
      <c r="Q1" s="70" t="s">
        <v>555</v>
      </c>
      <c r="R1" s="77" t="s">
        <v>9</v>
      </c>
      <c r="S1" s="77" t="s">
        <v>12</v>
      </c>
    </row>
    <row r="2" spans="1:19" s="1" customFormat="1" ht="105" x14ac:dyDescent="0.25">
      <c r="A2" s="4" t="s">
        <v>227</v>
      </c>
      <c r="B2" s="4" t="s">
        <v>228</v>
      </c>
      <c r="C2" s="4" t="s">
        <v>264</v>
      </c>
      <c r="D2" s="4" t="s">
        <v>231</v>
      </c>
      <c r="E2" s="9" t="s">
        <v>312</v>
      </c>
      <c r="F2" s="4" t="s">
        <v>313</v>
      </c>
      <c r="G2" s="9" t="s">
        <v>363</v>
      </c>
      <c r="H2" s="9" t="s">
        <v>143</v>
      </c>
      <c r="I2" s="4" t="s">
        <v>19</v>
      </c>
      <c r="J2" s="15">
        <v>260000</v>
      </c>
      <c r="K2" s="4" t="s">
        <v>20</v>
      </c>
      <c r="L2" s="15">
        <v>312000</v>
      </c>
      <c r="M2" s="4" t="s">
        <v>20</v>
      </c>
      <c r="N2" s="15">
        <v>1000</v>
      </c>
      <c r="O2" s="4" t="s">
        <v>30</v>
      </c>
      <c r="P2" s="17" t="s">
        <v>554</v>
      </c>
      <c r="Q2" s="4">
        <v>0</v>
      </c>
      <c r="R2" s="4" t="s">
        <v>30</v>
      </c>
      <c r="S2" s="9" t="s">
        <v>484</v>
      </c>
    </row>
    <row r="3" spans="1:19" s="1" customFormat="1" ht="105" x14ac:dyDescent="0.25">
      <c r="A3" s="4" t="s">
        <v>229</v>
      </c>
      <c r="B3" s="4" t="s">
        <v>230</v>
      </c>
      <c r="C3" s="4" t="s">
        <v>78</v>
      </c>
      <c r="D3" s="4" t="s">
        <v>231</v>
      </c>
      <c r="E3" s="4" t="s">
        <v>314</v>
      </c>
      <c r="F3" s="4" t="s">
        <v>315</v>
      </c>
      <c r="G3" s="9" t="s">
        <v>364</v>
      </c>
      <c r="H3" s="9" t="s">
        <v>316</v>
      </c>
      <c r="I3" s="4" t="s">
        <v>19</v>
      </c>
      <c r="J3" s="15">
        <v>114000</v>
      </c>
      <c r="K3" s="4" t="s">
        <v>20</v>
      </c>
      <c r="L3" s="15">
        <v>114000</v>
      </c>
      <c r="M3" s="4" t="s">
        <v>542</v>
      </c>
      <c r="N3" s="4" t="s">
        <v>76</v>
      </c>
      <c r="O3" s="4"/>
      <c r="P3" s="17" t="s">
        <v>554</v>
      </c>
      <c r="Q3" s="4">
        <v>0</v>
      </c>
      <c r="R3" s="4" t="s">
        <v>30</v>
      </c>
      <c r="S3" s="9" t="s">
        <v>453</v>
      </c>
    </row>
    <row r="4" spans="1:19" x14ac:dyDescent="0.25">
      <c r="L4" s="58">
        <f>SUM(L2:L3)</f>
        <v>426000</v>
      </c>
      <c r="P4" s="73"/>
    </row>
    <row r="5" spans="1:19" ht="25.5" customHeight="1" x14ac:dyDescent="0.25">
      <c r="I5" s="18" t="s">
        <v>540</v>
      </c>
      <c r="J5" s="62" t="s">
        <v>541</v>
      </c>
      <c r="P5" s="74"/>
      <c r="Q5">
        <f>SUM(Q2:Q3)</f>
        <v>0</v>
      </c>
    </row>
    <row r="6" spans="1:19" x14ac:dyDescent="0.25">
      <c r="H6" s="60" t="s">
        <v>80</v>
      </c>
      <c r="I6" s="58">
        <v>0</v>
      </c>
      <c r="J6" s="58">
        <v>0</v>
      </c>
      <c r="P6" s="74"/>
    </row>
    <row r="7" spans="1:19" x14ac:dyDescent="0.25">
      <c r="H7" s="60" t="s">
        <v>138</v>
      </c>
      <c r="I7" s="58">
        <v>0</v>
      </c>
      <c r="J7" s="58">
        <v>0</v>
      </c>
      <c r="P7" s="74"/>
    </row>
    <row r="8" spans="1:19" x14ac:dyDescent="0.25">
      <c r="H8" s="60" t="s">
        <v>538</v>
      </c>
      <c r="I8" s="58">
        <f>SUM(L3+L2)</f>
        <v>426000</v>
      </c>
      <c r="J8" s="58">
        <f>SUM((L3+L2)-(Q3+Q2))</f>
        <v>426000</v>
      </c>
      <c r="P8" s="74"/>
    </row>
    <row r="9" spans="1:19" x14ac:dyDescent="0.25">
      <c r="H9" s="60" t="s">
        <v>539</v>
      </c>
      <c r="I9" s="58">
        <v>0</v>
      </c>
      <c r="J9" s="58">
        <v>0</v>
      </c>
      <c r="P9" s="74"/>
    </row>
    <row r="10" spans="1:19" x14ac:dyDescent="0.25">
      <c r="H10" s="86" t="s">
        <v>556</v>
      </c>
      <c r="I10" s="84">
        <f>SUM(I6:I9)</f>
        <v>426000</v>
      </c>
      <c r="J10" s="84">
        <f>SUM(J6:J9)</f>
        <v>426000</v>
      </c>
      <c r="P10" s="74"/>
    </row>
    <row r="11" spans="1:19" x14ac:dyDescent="0.25">
      <c r="J11" s="89" t="s">
        <v>557</v>
      </c>
      <c r="K11" s="90">
        <f>SUM(I10-J10)</f>
        <v>0</v>
      </c>
      <c r="P11" s="74"/>
    </row>
    <row r="12" spans="1:19" x14ac:dyDescent="0.25">
      <c r="P12" s="74"/>
    </row>
    <row r="13" spans="1:19" x14ac:dyDescent="0.25">
      <c r="P13" s="74"/>
    </row>
    <row r="14" spans="1:19" x14ac:dyDescent="0.25">
      <c r="P14" s="75"/>
    </row>
  </sheetData>
  <autoFilter ref="A1:S1"/>
  <pageMargins left="0.7" right="0.7" top="0.75" bottom="0.75" header="0.3" footer="0.3"/>
  <pageSetup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
  <sheetViews>
    <sheetView workbookViewId="0">
      <pane ySplit="1" topLeftCell="A4" activePane="bottomLeft" state="frozen"/>
      <selection pane="bottomLeft" activeCell="H5" sqref="H5"/>
    </sheetView>
  </sheetViews>
  <sheetFormatPr defaultRowHeight="15" x14ac:dyDescent="0.25"/>
  <cols>
    <col min="1" max="1" width="13" customWidth="1"/>
    <col min="2" max="2" width="13.5703125" customWidth="1"/>
    <col min="3" max="3" width="12.7109375" customWidth="1"/>
    <col min="5" max="5" width="15.28515625" style="6" customWidth="1"/>
    <col min="7" max="7" width="30.140625" customWidth="1"/>
    <col min="8" max="8" width="16.28515625" customWidth="1"/>
    <col min="9" max="9" width="12.5703125" customWidth="1"/>
    <col min="10" max="10" width="12.85546875" customWidth="1"/>
    <col min="13" max="13" width="10.85546875" customWidth="1"/>
    <col min="14" max="14" width="13.42578125" style="58" customWidth="1"/>
    <col min="15" max="15" width="10.5703125" customWidth="1"/>
    <col min="17" max="17" width="13.42578125" customWidth="1"/>
    <col min="18" max="18" width="11" customWidth="1"/>
    <col min="19" max="19" width="14.140625" customWidth="1"/>
  </cols>
  <sheetData>
    <row r="1" spans="1:19" s="62" customFormat="1" ht="78.75" customHeight="1" x14ac:dyDescent="0.25">
      <c r="A1" s="78" t="s">
        <v>0</v>
      </c>
      <c r="B1" s="78" t="s">
        <v>1</v>
      </c>
      <c r="C1" s="78" t="s">
        <v>2</v>
      </c>
      <c r="D1" s="78" t="s">
        <v>3</v>
      </c>
      <c r="E1" s="78" t="s">
        <v>4</v>
      </c>
      <c r="F1" s="78" t="s">
        <v>5</v>
      </c>
      <c r="G1" s="78" t="s">
        <v>6</v>
      </c>
      <c r="H1" s="78" t="s">
        <v>7</v>
      </c>
      <c r="I1" s="78" t="s">
        <v>8</v>
      </c>
      <c r="J1" s="78" t="s">
        <v>519</v>
      </c>
      <c r="K1" s="78" t="s">
        <v>9</v>
      </c>
      <c r="L1" s="78" t="s">
        <v>10</v>
      </c>
      <c r="M1" s="78" t="s">
        <v>9</v>
      </c>
      <c r="N1" s="142" t="s">
        <v>520</v>
      </c>
      <c r="O1" s="78" t="s">
        <v>9</v>
      </c>
      <c r="P1" s="70" t="s">
        <v>552</v>
      </c>
      <c r="Q1" s="70" t="s">
        <v>555</v>
      </c>
      <c r="R1" s="78" t="s">
        <v>9</v>
      </c>
      <c r="S1" s="78" t="s">
        <v>12</v>
      </c>
    </row>
    <row r="2" spans="1:19" s="1" customFormat="1" ht="62.25" customHeight="1" x14ac:dyDescent="0.25">
      <c r="A2" s="4" t="s">
        <v>613</v>
      </c>
      <c r="B2" s="9" t="s">
        <v>614</v>
      </c>
      <c r="C2" s="9" t="s">
        <v>28</v>
      </c>
      <c r="D2" s="122" t="s">
        <v>615</v>
      </c>
      <c r="E2" s="9" t="s">
        <v>616</v>
      </c>
      <c r="F2" s="122" t="s">
        <v>617</v>
      </c>
      <c r="G2" s="17" t="s">
        <v>618</v>
      </c>
      <c r="H2" s="17" t="s">
        <v>619</v>
      </c>
      <c r="I2" s="122" t="s">
        <v>19</v>
      </c>
      <c r="J2" s="125">
        <v>200</v>
      </c>
      <c r="K2" s="125" t="s">
        <v>30</v>
      </c>
      <c r="L2" s="124">
        <v>20000</v>
      </c>
      <c r="M2" s="125" t="s">
        <v>20</v>
      </c>
      <c r="N2" s="124">
        <v>20000</v>
      </c>
      <c r="O2" s="125" t="s">
        <v>20</v>
      </c>
      <c r="P2" s="125" t="s">
        <v>766</v>
      </c>
      <c r="Q2" s="124" t="s">
        <v>49</v>
      </c>
      <c r="R2" s="125" t="s">
        <v>20</v>
      </c>
      <c r="S2" s="9"/>
    </row>
    <row r="3" spans="1:19" s="1" customFormat="1" ht="62.25" customHeight="1" x14ac:dyDescent="0.25">
      <c r="A3" s="3" t="s">
        <v>620</v>
      </c>
      <c r="B3" s="9" t="s">
        <v>621</v>
      </c>
      <c r="C3" s="9" t="s">
        <v>33</v>
      </c>
      <c r="D3" s="122" t="s">
        <v>615</v>
      </c>
      <c r="E3" s="9" t="s">
        <v>622</v>
      </c>
      <c r="F3" s="122" t="s">
        <v>617</v>
      </c>
      <c r="G3" s="17" t="s">
        <v>623</v>
      </c>
      <c r="H3" s="17" t="s">
        <v>138</v>
      </c>
      <c r="I3" s="122" t="s">
        <v>19</v>
      </c>
      <c r="J3" s="124">
        <v>1200</v>
      </c>
      <c r="K3" s="125" t="s">
        <v>581</v>
      </c>
      <c r="L3" s="124">
        <v>8000</v>
      </c>
      <c r="M3" s="125" t="s">
        <v>20</v>
      </c>
      <c r="N3" s="124" t="s">
        <v>76</v>
      </c>
      <c r="O3" s="125" t="s">
        <v>20</v>
      </c>
      <c r="P3" s="125" t="s">
        <v>764</v>
      </c>
      <c r="Q3" s="124">
        <v>0</v>
      </c>
      <c r="R3" s="125" t="s">
        <v>20</v>
      </c>
      <c r="S3" s="9" t="s">
        <v>629</v>
      </c>
    </row>
    <row r="4" spans="1:19" s="1" customFormat="1" ht="62.25" customHeight="1" x14ac:dyDescent="0.25">
      <c r="A4" s="4" t="s">
        <v>624</v>
      </c>
      <c r="B4" s="9" t="s">
        <v>625</v>
      </c>
      <c r="C4" s="9" t="s">
        <v>33</v>
      </c>
      <c r="D4" s="122" t="s">
        <v>615</v>
      </c>
      <c r="E4" s="9" t="s">
        <v>626</v>
      </c>
      <c r="F4" s="122" t="s">
        <v>627</v>
      </c>
      <c r="G4" s="17" t="s">
        <v>628</v>
      </c>
      <c r="H4" s="17" t="s">
        <v>138</v>
      </c>
      <c r="I4" s="122" t="s">
        <v>19</v>
      </c>
      <c r="J4" s="125">
        <v>120</v>
      </c>
      <c r="K4" s="125" t="s">
        <v>568</v>
      </c>
      <c r="L4" s="124">
        <v>1000</v>
      </c>
      <c r="M4" s="127" t="s">
        <v>20</v>
      </c>
      <c r="N4" s="124">
        <v>1000</v>
      </c>
      <c r="O4" s="125" t="s">
        <v>20</v>
      </c>
      <c r="P4" s="125" t="s">
        <v>764</v>
      </c>
      <c r="Q4" s="125">
        <v>0</v>
      </c>
      <c r="R4" s="125" t="s">
        <v>20</v>
      </c>
      <c r="S4" s="9" t="s">
        <v>629</v>
      </c>
    </row>
    <row r="5" spans="1:19" s="1" customFormat="1" ht="62.25" customHeight="1" x14ac:dyDescent="0.25">
      <c r="A5" s="3" t="s">
        <v>630</v>
      </c>
      <c r="B5" s="9" t="s">
        <v>631</v>
      </c>
      <c r="C5" s="5" t="s">
        <v>44</v>
      </c>
      <c r="D5" s="122" t="s">
        <v>615</v>
      </c>
      <c r="E5" s="9" t="s">
        <v>632</v>
      </c>
      <c r="F5" s="122" t="s">
        <v>633</v>
      </c>
      <c r="G5" s="17" t="s">
        <v>634</v>
      </c>
      <c r="H5" s="17" t="s">
        <v>635</v>
      </c>
      <c r="I5" s="122" t="s">
        <v>19</v>
      </c>
      <c r="J5" s="125">
        <v>514</v>
      </c>
      <c r="K5" s="125" t="s">
        <v>593</v>
      </c>
      <c r="L5" s="124">
        <v>37500</v>
      </c>
      <c r="M5" s="125" t="s">
        <v>20</v>
      </c>
      <c r="N5" s="124" t="s">
        <v>76</v>
      </c>
      <c r="O5" s="125" t="s">
        <v>20</v>
      </c>
      <c r="P5" s="125" t="s">
        <v>764</v>
      </c>
      <c r="Q5" s="125">
        <v>0</v>
      </c>
      <c r="R5" s="125" t="s">
        <v>20</v>
      </c>
      <c r="S5" s="9"/>
    </row>
    <row r="6" spans="1:19" x14ac:dyDescent="0.25">
      <c r="L6" s="81">
        <f>SUM(L2:L5)</f>
        <v>66500</v>
      </c>
      <c r="Q6" s="58">
        <f>SUM(Q2:Q5)</f>
        <v>0</v>
      </c>
    </row>
    <row r="7" spans="1:19" ht="30" x14ac:dyDescent="0.25">
      <c r="I7" s="83" t="s">
        <v>540</v>
      </c>
      <c r="J7" s="62" t="s">
        <v>541</v>
      </c>
      <c r="L7" s="1"/>
    </row>
    <row r="8" spans="1:19" x14ac:dyDescent="0.25">
      <c r="H8" s="60" t="s">
        <v>80</v>
      </c>
      <c r="I8" s="58">
        <v>0</v>
      </c>
      <c r="J8" s="58">
        <f>SUM(M1)</f>
        <v>0</v>
      </c>
    </row>
    <row r="9" spans="1:19" x14ac:dyDescent="0.25">
      <c r="H9" s="60" t="s">
        <v>138</v>
      </c>
      <c r="I9" s="58">
        <f>SUM(L2+L3+L4)</f>
        <v>29000</v>
      </c>
      <c r="J9" s="58">
        <f>SUM((L2+L3+L4)-(Q3+Q4))</f>
        <v>29000</v>
      </c>
    </row>
    <row r="10" spans="1:19" x14ac:dyDescent="0.25">
      <c r="H10" s="60" t="s">
        <v>538</v>
      </c>
      <c r="I10" s="58">
        <f>SUM(L5)</f>
        <v>37500</v>
      </c>
      <c r="J10" s="58">
        <f>SUM((L5)-(Q5))</f>
        <v>37500</v>
      </c>
    </row>
    <row r="11" spans="1:19" x14ac:dyDescent="0.25">
      <c r="H11" s="60" t="s">
        <v>539</v>
      </c>
      <c r="I11" s="58">
        <v>0</v>
      </c>
      <c r="J11" s="58">
        <v>0</v>
      </c>
    </row>
    <row r="12" spans="1:19" x14ac:dyDescent="0.25">
      <c r="H12" s="85" t="s">
        <v>556</v>
      </c>
      <c r="I12" s="84">
        <f>SUM(I8:I11)</f>
        <v>66500</v>
      </c>
      <c r="J12" s="82">
        <f>SUM(J8:J11)</f>
        <v>66500</v>
      </c>
    </row>
    <row r="13" spans="1:19" ht="30" x14ac:dyDescent="0.25">
      <c r="J13" s="89" t="s">
        <v>557</v>
      </c>
      <c r="K13" s="90">
        <f>SUM(I12-J12)</f>
        <v>0</v>
      </c>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8"/>
  <sheetViews>
    <sheetView zoomScale="90" zoomScaleNormal="90" workbookViewId="0">
      <pane xSplit="2" ySplit="1" topLeftCell="C14" activePane="bottomRight" state="frozen"/>
      <selection pane="topRight" activeCell="C1" sqref="C1"/>
      <selection pane="bottomLeft" activeCell="A2" sqref="A2"/>
      <selection pane="bottomRight" activeCell="G14" sqref="G14"/>
    </sheetView>
  </sheetViews>
  <sheetFormatPr defaultRowHeight="15" x14ac:dyDescent="0.25"/>
  <cols>
    <col min="1" max="1" width="13.42578125" bestFit="1" customWidth="1"/>
    <col min="2" max="2" width="41.42578125" bestFit="1" customWidth="1"/>
    <col min="3" max="3" width="46.42578125" bestFit="1" customWidth="1"/>
    <col min="4" max="4" width="7.7109375" bestFit="1" customWidth="1"/>
    <col min="5" max="5" width="35.85546875" bestFit="1" customWidth="1"/>
    <col min="6" max="6" width="11.42578125" customWidth="1"/>
    <col min="7" max="7" width="39.85546875" customWidth="1"/>
    <col min="8" max="8" width="35.85546875" bestFit="1" customWidth="1"/>
    <col min="9" max="9" width="17.85546875" customWidth="1"/>
    <col min="10" max="10" width="21.42578125" customWidth="1"/>
    <col min="11" max="11" width="20.5703125" bestFit="1" customWidth="1"/>
    <col min="12" max="12" width="17.140625" customWidth="1"/>
    <col min="13" max="13" width="21.5703125" bestFit="1" customWidth="1"/>
    <col min="14" max="14" width="19.28515625" customWidth="1"/>
    <col min="15" max="15" width="11.85546875" bestFit="1" customWidth="1"/>
    <col min="16" max="16" width="10.7109375" style="72" customWidth="1"/>
    <col min="17" max="17" width="21.85546875" bestFit="1" customWidth="1"/>
    <col min="18" max="18" width="10" bestFit="1" customWidth="1"/>
    <col min="19" max="19" width="66.140625" customWidth="1"/>
  </cols>
  <sheetData>
    <row r="1" spans="1:19" s="2" customFormat="1" ht="45" x14ac:dyDescent="0.25">
      <c r="A1" s="77" t="s">
        <v>0</v>
      </c>
      <c r="B1" s="77" t="s">
        <v>1</v>
      </c>
      <c r="C1" s="77" t="s">
        <v>2</v>
      </c>
      <c r="D1" s="77" t="s">
        <v>3</v>
      </c>
      <c r="E1" s="77" t="s">
        <v>4</v>
      </c>
      <c r="F1" s="77" t="s">
        <v>5</v>
      </c>
      <c r="G1" s="77" t="s">
        <v>6</v>
      </c>
      <c r="H1" s="77" t="s">
        <v>7</v>
      </c>
      <c r="I1" s="77" t="s">
        <v>8</v>
      </c>
      <c r="J1" s="78" t="s">
        <v>519</v>
      </c>
      <c r="K1" s="77" t="s">
        <v>9</v>
      </c>
      <c r="L1" s="77" t="s">
        <v>10</v>
      </c>
      <c r="M1" s="77" t="s">
        <v>9</v>
      </c>
      <c r="N1" s="78" t="s">
        <v>520</v>
      </c>
      <c r="O1" s="77" t="s">
        <v>9</v>
      </c>
      <c r="P1" s="70" t="s">
        <v>552</v>
      </c>
      <c r="Q1" s="70" t="s">
        <v>555</v>
      </c>
      <c r="R1" s="77" t="s">
        <v>9</v>
      </c>
      <c r="S1" s="77" t="s">
        <v>12</v>
      </c>
    </row>
    <row r="2" spans="1:19" s="1" customFormat="1" ht="75" x14ac:dyDescent="0.25">
      <c r="A2" s="4" t="s">
        <v>94</v>
      </c>
      <c r="B2" s="4" t="s">
        <v>95</v>
      </c>
      <c r="C2" s="4" t="s">
        <v>33</v>
      </c>
      <c r="D2" s="4" t="s">
        <v>96</v>
      </c>
      <c r="E2" s="4" t="s">
        <v>97</v>
      </c>
      <c r="F2" s="4" t="s">
        <v>98</v>
      </c>
      <c r="G2" s="9" t="s">
        <v>272</v>
      </c>
      <c r="H2" s="4" t="s">
        <v>99</v>
      </c>
      <c r="I2" s="4" t="s">
        <v>19</v>
      </c>
      <c r="J2" s="15">
        <v>200</v>
      </c>
      <c r="K2" s="4" t="s">
        <v>30</v>
      </c>
      <c r="L2" s="15">
        <v>62000</v>
      </c>
      <c r="M2" s="4" t="s">
        <v>20</v>
      </c>
      <c r="N2" s="15">
        <v>200</v>
      </c>
      <c r="O2" s="4" t="s">
        <v>30</v>
      </c>
      <c r="P2" s="17" t="s">
        <v>554</v>
      </c>
      <c r="Q2" s="4">
        <v>0</v>
      </c>
      <c r="R2" s="4" t="s">
        <v>20</v>
      </c>
      <c r="S2" s="9" t="s">
        <v>429</v>
      </c>
    </row>
    <row r="3" spans="1:19" s="1" customFormat="1" ht="45" x14ac:dyDescent="0.25">
      <c r="A3" s="4" t="s">
        <v>100</v>
      </c>
      <c r="B3" s="4" t="s">
        <v>101</v>
      </c>
      <c r="C3" s="4" t="s">
        <v>91</v>
      </c>
      <c r="D3" s="4" t="s">
        <v>96</v>
      </c>
      <c r="E3" s="4" t="s">
        <v>102</v>
      </c>
      <c r="F3" s="4" t="s">
        <v>103</v>
      </c>
      <c r="G3" s="9" t="s">
        <v>273</v>
      </c>
      <c r="H3" s="4" t="s">
        <v>99</v>
      </c>
      <c r="I3" s="4" t="s">
        <v>19</v>
      </c>
      <c r="J3" s="15">
        <v>9750</v>
      </c>
      <c r="K3" s="4" t="s">
        <v>545</v>
      </c>
      <c r="L3" s="15">
        <v>1249</v>
      </c>
      <c r="M3" s="4" t="s">
        <v>542</v>
      </c>
      <c r="N3" s="15">
        <v>0</v>
      </c>
      <c r="O3" s="4" t="s">
        <v>30</v>
      </c>
      <c r="P3" s="17" t="s">
        <v>554</v>
      </c>
      <c r="Q3" s="4">
        <v>0</v>
      </c>
      <c r="R3" s="4" t="s">
        <v>20</v>
      </c>
      <c r="S3" s="9" t="s">
        <v>471</v>
      </c>
    </row>
    <row r="4" spans="1:19" s="1" customFormat="1" ht="60" x14ac:dyDescent="0.25">
      <c r="A4" s="4" t="s">
        <v>204</v>
      </c>
      <c r="B4" s="4" t="s">
        <v>205</v>
      </c>
      <c r="C4" s="4" t="s">
        <v>28</v>
      </c>
      <c r="D4" s="4" t="s">
        <v>96</v>
      </c>
      <c r="E4" s="4" t="s">
        <v>296</v>
      </c>
      <c r="F4" s="4" t="s">
        <v>292</v>
      </c>
      <c r="G4" s="9" t="s">
        <v>341</v>
      </c>
      <c r="H4" s="4" t="s">
        <v>25</v>
      </c>
      <c r="I4" s="4" t="s">
        <v>19</v>
      </c>
      <c r="J4" s="15">
        <v>25000</v>
      </c>
      <c r="K4" s="4" t="s">
        <v>20</v>
      </c>
      <c r="L4" s="15">
        <v>25000</v>
      </c>
      <c r="M4" s="4" t="s">
        <v>20</v>
      </c>
      <c r="N4" s="15" t="s">
        <v>76</v>
      </c>
      <c r="O4" s="4"/>
      <c r="P4" s="17" t="s">
        <v>554</v>
      </c>
      <c r="Q4" s="4">
        <v>0</v>
      </c>
      <c r="R4" s="4" t="s">
        <v>20</v>
      </c>
      <c r="S4" s="9" t="s">
        <v>434</v>
      </c>
    </row>
    <row r="5" spans="1:19" s="1" customFormat="1" ht="90" x14ac:dyDescent="0.25">
      <c r="A5" s="4" t="s">
        <v>202</v>
      </c>
      <c r="B5" s="4" t="s">
        <v>203</v>
      </c>
      <c r="C5" s="4" t="s">
        <v>290</v>
      </c>
      <c r="D5" s="4" t="s">
        <v>96</v>
      </c>
      <c r="E5" s="4" t="s">
        <v>293</v>
      </c>
      <c r="F5" s="4" t="s">
        <v>98</v>
      </c>
      <c r="G5" s="9" t="s">
        <v>340</v>
      </c>
      <c r="H5" s="4" t="s">
        <v>295</v>
      </c>
      <c r="I5" s="4" t="s">
        <v>19</v>
      </c>
      <c r="J5" s="15">
        <v>92300</v>
      </c>
      <c r="K5" s="4" t="s">
        <v>20</v>
      </c>
      <c r="L5" s="15">
        <v>129575</v>
      </c>
      <c r="M5" s="4" t="s">
        <v>20</v>
      </c>
      <c r="N5" s="15">
        <f>((12700+7035+11120)/3)+((1600+1552+1361)/3)</f>
        <v>11789.333333333334</v>
      </c>
      <c r="O5" s="4" t="s">
        <v>71</v>
      </c>
      <c r="P5" s="17" t="s">
        <v>554</v>
      </c>
      <c r="Q5" s="4">
        <v>0</v>
      </c>
      <c r="R5" s="4" t="s">
        <v>20</v>
      </c>
      <c r="S5" s="9" t="s">
        <v>529</v>
      </c>
    </row>
    <row r="6" spans="1:19" s="1" customFormat="1" ht="120" x14ac:dyDescent="0.25">
      <c r="A6" s="4" t="s">
        <v>190</v>
      </c>
      <c r="B6" s="4" t="s">
        <v>191</v>
      </c>
      <c r="C6" s="4" t="s">
        <v>28</v>
      </c>
      <c r="D6" s="4" t="s">
        <v>96</v>
      </c>
      <c r="E6" s="4" t="s">
        <v>279</v>
      </c>
      <c r="F6" s="4" t="s">
        <v>280</v>
      </c>
      <c r="G6" s="9" t="s">
        <v>281</v>
      </c>
      <c r="H6" s="4" t="s">
        <v>25</v>
      </c>
      <c r="I6" s="4" t="s">
        <v>19</v>
      </c>
      <c r="J6" s="15">
        <v>75120</v>
      </c>
      <c r="K6" s="4" t="s">
        <v>542</v>
      </c>
      <c r="L6" s="15">
        <v>75120</v>
      </c>
      <c r="M6" s="4" t="s">
        <v>542</v>
      </c>
      <c r="N6" s="15">
        <f>(10500+3908+7882+6125)/4</f>
        <v>7103.75</v>
      </c>
      <c r="O6" s="4" t="s">
        <v>71</v>
      </c>
      <c r="P6" s="17" t="s">
        <v>554</v>
      </c>
      <c r="Q6" s="4">
        <v>0</v>
      </c>
      <c r="R6" s="4" t="s">
        <v>20</v>
      </c>
      <c r="S6" s="9" t="s">
        <v>528</v>
      </c>
    </row>
    <row r="7" spans="1:19" s="1" customFormat="1" ht="60" x14ac:dyDescent="0.25">
      <c r="A7" s="4" t="s">
        <v>194</v>
      </c>
      <c r="B7" s="4" t="s">
        <v>191</v>
      </c>
      <c r="C7" s="4" t="s">
        <v>195</v>
      </c>
      <c r="D7" s="4" t="s">
        <v>96</v>
      </c>
      <c r="E7" s="4" t="s">
        <v>282</v>
      </c>
      <c r="F7" s="4" t="s">
        <v>283</v>
      </c>
      <c r="G7" s="9" t="s">
        <v>336</v>
      </c>
      <c r="H7" s="4" t="s">
        <v>547</v>
      </c>
      <c r="I7" s="4" t="s">
        <v>19</v>
      </c>
      <c r="J7" s="15" t="s">
        <v>267</v>
      </c>
      <c r="K7" s="4" t="s">
        <v>267</v>
      </c>
      <c r="L7" s="15" t="s">
        <v>267</v>
      </c>
      <c r="M7" s="4" t="s">
        <v>267</v>
      </c>
      <c r="N7" s="15" t="s">
        <v>76</v>
      </c>
      <c r="O7" s="4"/>
      <c r="P7" s="17" t="s">
        <v>554</v>
      </c>
      <c r="Q7" s="4">
        <v>0</v>
      </c>
      <c r="R7" s="4" t="s">
        <v>20</v>
      </c>
      <c r="S7" s="4" t="s">
        <v>548</v>
      </c>
    </row>
    <row r="8" spans="1:19" s="1" customFormat="1" ht="60" x14ac:dyDescent="0.25">
      <c r="A8" s="4" t="s">
        <v>104</v>
      </c>
      <c r="B8" s="4" t="s">
        <v>105</v>
      </c>
      <c r="C8" s="4" t="s">
        <v>15</v>
      </c>
      <c r="D8" s="4" t="s">
        <v>96</v>
      </c>
      <c r="E8" s="4" t="s">
        <v>106</v>
      </c>
      <c r="F8" s="4" t="s">
        <v>103</v>
      </c>
      <c r="G8" s="9" t="s">
        <v>274</v>
      </c>
      <c r="H8" s="4" t="s">
        <v>70</v>
      </c>
      <c r="I8" s="4" t="s">
        <v>19</v>
      </c>
      <c r="J8" s="15">
        <v>2250</v>
      </c>
      <c r="K8" s="4" t="s">
        <v>542</v>
      </c>
      <c r="L8" s="15" t="s">
        <v>61</v>
      </c>
      <c r="M8" s="4" t="s">
        <v>61</v>
      </c>
      <c r="N8" s="15" t="s">
        <v>76</v>
      </c>
      <c r="O8" s="4" t="s">
        <v>20</v>
      </c>
      <c r="P8" s="17" t="s">
        <v>554</v>
      </c>
      <c r="Q8" s="4">
        <v>0</v>
      </c>
      <c r="R8" s="4" t="s">
        <v>20</v>
      </c>
      <c r="S8" s="9" t="s">
        <v>490</v>
      </c>
    </row>
    <row r="9" spans="1:19" s="1" customFormat="1" ht="90" x14ac:dyDescent="0.25">
      <c r="A9" s="4" t="s">
        <v>200</v>
      </c>
      <c r="B9" s="4" t="s">
        <v>201</v>
      </c>
      <c r="C9" s="4" t="s">
        <v>91</v>
      </c>
      <c r="D9" s="4" t="s">
        <v>96</v>
      </c>
      <c r="E9" s="4" t="s">
        <v>291</v>
      </c>
      <c r="F9" s="4" t="s">
        <v>292</v>
      </c>
      <c r="G9" s="9" t="s">
        <v>339</v>
      </c>
      <c r="H9" s="4" t="s">
        <v>138</v>
      </c>
      <c r="I9" s="4" t="s">
        <v>19</v>
      </c>
      <c r="J9" s="15">
        <v>10000</v>
      </c>
      <c r="K9" s="4" t="s">
        <v>542</v>
      </c>
      <c r="L9" s="15">
        <v>10000</v>
      </c>
      <c r="M9" s="4" t="s">
        <v>20</v>
      </c>
      <c r="N9" s="15">
        <f>((953/30)+((943+33)/30))/2</f>
        <v>32.15</v>
      </c>
      <c r="O9" s="4" t="s">
        <v>30</v>
      </c>
      <c r="P9" s="17" t="s">
        <v>554</v>
      </c>
      <c r="Q9" s="4">
        <v>0</v>
      </c>
      <c r="R9" s="4" t="s">
        <v>20</v>
      </c>
      <c r="S9" s="9" t="s">
        <v>433</v>
      </c>
    </row>
    <row r="10" spans="1:19" s="1" customFormat="1" ht="120" x14ac:dyDescent="0.25">
      <c r="A10" s="4" t="s">
        <v>196</v>
      </c>
      <c r="B10" s="4" t="s">
        <v>197</v>
      </c>
      <c r="C10" s="4" t="s">
        <v>91</v>
      </c>
      <c r="D10" s="4" t="s">
        <v>96</v>
      </c>
      <c r="E10" s="4" t="s">
        <v>286</v>
      </c>
      <c r="F10" s="4" t="s">
        <v>96</v>
      </c>
      <c r="G10" s="9" t="s">
        <v>337</v>
      </c>
      <c r="H10" s="4" t="s">
        <v>138</v>
      </c>
      <c r="I10" s="4" t="s">
        <v>19</v>
      </c>
      <c r="J10" s="15">
        <v>25000</v>
      </c>
      <c r="K10" s="4" t="s">
        <v>20</v>
      </c>
      <c r="L10" s="15">
        <v>25000</v>
      </c>
      <c r="M10" s="4" t="s">
        <v>20</v>
      </c>
      <c r="N10" s="15">
        <v>24000</v>
      </c>
      <c r="O10" s="4" t="s">
        <v>20</v>
      </c>
      <c r="P10" s="17" t="s">
        <v>553</v>
      </c>
      <c r="Q10" s="15">
        <f>L10-N10</f>
        <v>1000</v>
      </c>
      <c r="R10" s="4" t="s">
        <v>20</v>
      </c>
      <c r="S10" s="9" t="s">
        <v>431</v>
      </c>
    </row>
    <row r="11" spans="1:19" s="1" customFormat="1" ht="60" x14ac:dyDescent="0.25">
      <c r="A11" s="4" t="s">
        <v>192</v>
      </c>
      <c r="B11" s="4" t="s">
        <v>193</v>
      </c>
      <c r="C11" s="4" t="s">
        <v>28</v>
      </c>
      <c r="D11" s="4" t="s">
        <v>96</v>
      </c>
      <c r="E11" s="4" t="s">
        <v>284</v>
      </c>
      <c r="F11" s="4" t="s">
        <v>283</v>
      </c>
      <c r="G11" s="9" t="s">
        <v>285</v>
      </c>
      <c r="H11" s="4" t="s">
        <v>25</v>
      </c>
      <c r="I11" s="4" t="s">
        <v>19</v>
      </c>
      <c r="J11" s="15">
        <v>12520</v>
      </c>
      <c r="K11" s="4" t="s">
        <v>542</v>
      </c>
      <c r="L11" s="15">
        <v>12520</v>
      </c>
      <c r="M11" s="4" t="s">
        <v>546</v>
      </c>
      <c r="N11" s="15" t="s">
        <v>76</v>
      </c>
      <c r="O11" s="4"/>
      <c r="P11" s="17" t="s">
        <v>554</v>
      </c>
      <c r="Q11" s="4">
        <v>0</v>
      </c>
      <c r="R11" s="4" t="s">
        <v>20</v>
      </c>
      <c r="S11" s="9" t="s">
        <v>430</v>
      </c>
    </row>
    <row r="12" spans="1:19" s="1" customFormat="1" ht="75" x14ac:dyDescent="0.25">
      <c r="A12" s="4" t="s">
        <v>206</v>
      </c>
      <c r="B12" s="4" t="s">
        <v>207</v>
      </c>
      <c r="C12" s="4" t="s">
        <v>28</v>
      </c>
      <c r="D12" s="4" t="s">
        <v>96</v>
      </c>
      <c r="E12" s="4" t="s">
        <v>297</v>
      </c>
      <c r="F12" s="4" t="s">
        <v>96</v>
      </c>
      <c r="G12" s="9" t="s">
        <v>342</v>
      </c>
      <c r="H12" s="4" t="s">
        <v>41</v>
      </c>
      <c r="I12" s="4" t="s">
        <v>19</v>
      </c>
      <c r="J12" s="15">
        <v>2500</v>
      </c>
      <c r="K12" s="4" t="s">
        <v>20</v>
      </c>
      <c r="L12" s="15">
        <v>2500</v>
      </c>
      <c r="M12" s="4" t="s">
        <v>20</v>
      </c>
      <c r="N12" s="15">
        <v>0</v>
      </c>
      <c r="O12" s="4" t="s">
        <v>20</v>
      </c>
      <c r="P12" s="17" t="s">
        <v>554</v>
      </c>
      <c r="Q12" s="4">
        <v>0</v>
      </c>
      <c r="R12" s="4" t="s">
        <v>20</v>
      </c>
      <c r="S12" s="9" t="s">
        <v>454</v>
      </c>
    </row>
    <row r="13" spans="1:19" s="1" customFormat="1" ht="150" x14ac:dyDescent="0.25">
      <c r="A13" s="4" t="s">
        <v>188</v>
      </c>
      <c r="B13" s="4" t="s">
        <v>189</v>
      </c>
      <c r="C13" s="4" t="s">
        <v>28</v>
      </c>
      <c r="D13" s="4" t="s">
        <v>96</v>
      </c>
      <c r="E13" s="4" t="s">
        <v>277</v>
      </c>
      <c r="F13" s="4" t="s">
        <v>96</v>
      </c>
      <c r="G13" s="9" t="s">
        <v>278</v>
      </c>
      <c r="H13" s="4" t="s">
        <v>29</v>
      </c>
      <c r="I13" s="4" t="s">
        <v>19</v>
      </c>
      <c r="J13" s="15">
        <v>5000</v>
      </c>
      <c r="K13" s="4" t="s">
        <v>20</v>
      </c>
      <c r="L13" s="15">
        <v>5000</v>
      </c>
      <c r="M13" s="4" t="s">
        <v>20</v>
      </c>
      <c r="N13" s="15" t="s">
        <v>76</v>
      </c>
      <c r="O13" s="4"/>
      <c r="P13" s="73" t="s">
        <v>554</v>
      </c>
      <c r="Q13" s="4" t="s">
        <v>49</v>
      </c>
      <c r="R13" s="4"/>
      <c r="S13" s="9" t="s">
        <v>522</v>
      </c>
    </row>
    <row r="14" spans="1:19" s="1" customFormat="1" ht="60" x14ac:dyDescent="0.25">
      <c r="A14" s="4" t="s">
        <v>198</v>
      </c>
      <c r="B14" s="4" t="s">
        <v>199</v>
      </c>
      <c r="C14" s="4" t="s">
        <v>28</v>
      </c>
      <c r="D14" s="4" t="s">
        <v>96</v>
      </c>
      <c r="E14" s="4" t="s">
        <v>287</v>
      </c>
      <c r="F14" s="4" t="s">
        <v>288</v>
      </c>
      <c r="G14" s="9" t="s">
        <v>338</v>
      </c>
      <c r="H14" s="4" t="s">
        <v>289</v>
      </c>
      <c r="I14" s="4" t="s">
        <v>19</v>
      </c>
      <c r="J14" s="15">
        <v>6260</v>
      </c>
      <c r="K14" s="4" t="s">
        <v>20</v>
      </c>
      <c r="L14" s="15">
        <v>6260</v>
      </c>
      <c r="M14" s="4" t="s">
        <v>542</v>
      </c>
      <c r="N14" s="15" t="s">
        <v>76</v>
      </c>
      <c r="O14" s="4"/>
      <c r="P14" s="76" t="s">
        <v>554</v>
      </c>
      <c r="Q14" s="4">
        <v>0</v>
      </c>
      <c r="R14" s="4" t="s">
        <v>20</v>
      </c>
      <c r="S14" s="9" t="s">
        <v>432</v>
      </c>
    </row>
    <row r="15" spans="1:19" x14ac:dyDescent="0.25">
      <c r="L15" s="58">
        <f>SUM(L2:L14)</f>
        <v>354224</v>
      </c>
      <c r="N15" s="58"/>
      <c r="Q15">
        <f>SUM(Q2:Q14)</f>
        <v>1000</v>
      </c>
    </row>
    <row r="16" spans="1:19" x14ac:dyDescent="0.25">
      <c r="I16" s="18" t="s">
        <v>540</v>
      </c>
      <c r="J16" s="62" t="s">
        <v>541</v>
      </c>
      <c r="N16" s="58"/>
    </row>
    <row r="17" spans="8:14" x14ac:dyDescent="0.25">
      <c r="H17" s="60" t="s">
        <v>80</v>
      </c>
      <c r="I17" s="58">
        <v>0</v>
      </c>
      <c r="J17" s="58">
        <v>0</v>
      </c>
      <c r="N17" s="58"/>
    </row>
    <row r="18" spans="8:14" x14ac:dyDescent="0.25">
      <c r="H18" s="60" t="s">
        <v>138</v>
      </c>
      <c r="I18" s="58">
        <f>SUM(L13+L10+L9+L3+L2)</f>
        <v>103249</v>
      </c>
      <c r="J18" s="58">
        <f>SUM((L13+L10+L9+L3+L2)-(0+Q10+Q9+Q3+Q2))</f>
        <v>102249</v>
      </c>
      <c r="N18" s="58"/>
    </row>
    <row r="19" spans="8:14" x14ac:dyDescent="0.25">
      <c r="H19" s="60" t="s">
        <v>538</v>
      </c>
      <c r="I19" s="58">
        <v>0</v>
      </c>
      <c r="J19" s="58">
        <v>0</v>
      </c>
      <c r="N19" s="58"/>
    </row>
    <row r="20" spans="8:14" x14ac:dyDescent="0.25">
      <c r="H20" s="60" t="s">
        <v>539</v>
      </c>
      <c r="I20" s="58">
        <f>SUM(L14+L12+L11+L6+L5+L4)</f>
        <v>250975</v>
      </c>
      <c r="J20" s="58">
        <f>SUM((L14+L12+L11+L6+L5+L4)-(Q14+Q12+Q11+Q6+Q5+Q4))</f>
        <v>250975</v>
      </c>
      <c r="N20" s="58"/>
    </row>
    <row r="21" spans="8:14" x14ac:dyDescent="0.25">
      <c r="H21" s="86" t="s">
        <v>556</v>
      </c>
      <c r="I21" s="84">
        <f>SUM(I17:I20)</f>
        <v>354224</v>
      </c>
      <c r="J21" s="84">
        <f>SUM(J17:J20)</f>
        <v>353224</v>
      </c>
      <c r="N21" s="58"/>
    </row>
    <row r="22" spans="8:14" x14ac:dyDescent="0.25">
      <c r="J22" s="89" t="s">
        <v>557</v>
      </c>
      <c r="K22" s="90">
        <f>SUM(I21-J21)</f>
        <v>1000</v>
      </c>
      <c r="N22" s="58"/>
    </row>
    <row r="23" spans="8:14" x14ac:dyDescent="0.25">
      <c r="N23" s="58"/>
    </row>
    <row r="24" spans="8:14" x14ac:dyDescent="0.25">
      <c r="N24" s="58"/>
    </row>
    <row r="25" spans="8:14" x14ac:dyDescent="0.25">
      <c r="N25" s="58"/>
    </row>
    <row r="26" spans="8:14" x14ac:dyDescent="0.25">
      <c r="N26" s="58"/>
    </row>
    <row r="27" spans="8:14" x14ac:dyDescent="0.25">
      <c r="N27" s="58"/>
    </row>
    <row r="28" spans="8:14" x14ac:dyDescent="0.25">
      <c r="N28" s="58"/>
    </row>
  </sheetData>
  <autoFilter ref="A1:S14"/>
  <sortState ref="A3:R14">
    <sortCondition ref="B3:B14"/>
  </sortState>
  <pageMargins left="0.7" right="0.7" top="0.75" bottom="0.75" header="0.3" footer="0.3"/>
  <pageSetup orientation="portrait" horizontalDpi="1200" verticalDpi="12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1"/>
  <sheetViews>
    <sheetView zoomScale="70" zoomScaleNormal="70" workbookViewId="0">
      <pane xSplit="2" ySplit="1" topLeftCell="H2" activePane="bottomRight" state="frozen"/>
      <selection pane="topRight" activeCell="C1" sqref="C1"/>
      <selection pane="bottomLeft" activeCell="A2" sqref="A2"/>
      <selection pane="bottomRight" activeCell="B4" sqref="B4"/>
    </sheetView>
  </sheetViews>
  <sheetFormatPr defaultRowHeight="15" x14ac:dyDescent="0.25"/>
  <cols>
    <col min="1" max="1" width="12.28515625" customWidth="1"/>
    <col min="2" max="2" width="34.28515625" bestFit="1" customWidth="1"/>
    <col min="3" max="3" width="46.42578125" bestFit="1" customWidth="1"/>
    <col min="4" max="4" width="9.7109375" bestFit="1" customWidth="1"/>
    <col min="5" max="5" width="26.5703125" bestFit="1" customWidth="1"/>
    <col min="6" max="6" width="12.85546875" bestFit="1" customWidth="1"/>
    <col min="7" max="7" width="38.28515625" customWidth="1"/>
    <col min="8" max="8" width="53.85546875" bestFit="1" customWidth="1"/>
    <col min="9" max="9" width="17.7109375" bestFit="1" customWidth="1"/>
    <col min="10" max="10" width="19.140625" customWidth="1"/>
    <col min="11" max="11" width="21.5703125" bestFit="1" customWidth="1"/>
    <col min="12" max="12" width="25" customWidth="1"/>
    <col min="13" max="13" width="24.85546875" customWidth="1"/>
    <col min="14" max="14" width="31.42578125" bestFit="1" customWidth="1"/>
    <col min="15" max="15" width="14.7109375" customWidth="1"/>
    <col min="16" max="16" width="10.7109375" style="72" customWidth="1"/>
    <col min="17" max="17" width="31.28515625" customWidth="1"/>
    <col min="18" max="18" width="15.5703125" customWidth="1"/>
    <col min="19" max="19" width="57.5703125" customWidth="1"/>
  </cols>
  <sheetData>
    <row r="1" spans="1:19" s="2" customFormat="1" ht="45" x14ac:dyDescent="0.25">
      <c r="A1" s="77" t="s">
        <v>0</v>
      </c>
      <c r="B1" s="77" t="s">
        <v>1</v>
      </c>
      <c r="C1" s="77" t="s">
        <v>2</v>
      </c>
      <c r="D1" s="77" t="s">
        <v>3</v>
      </c>
      <c r="E1" s="77" t="s">
        <v>4</v>
      </c>
      <c r="F1" s="77" t="s">
        <v>5</v>
      </c>
      <c r="G1" s="77" t="s">
        <v>6</v>
      </c>
      <c r="H1" s="77" t="s">
        <v>7</v>
      </c>
      <c r="I1" s="77" t="s">
        <v>8</v>
      </c>
      <c r="J1" s="78" t="s">
        <v>519</v>
      </c>
      <c r="K1" s="77" t="s">
        <v>9</v>
      </c>
      <c r="L1" s="77" t="s">
        <v>10</v>
      </c>
      <c r="M1" s="77" t="s">
        <v>9</v>
      </c>
      <c r="N1" s="78" t="s">
        <v>520</v>
      </c>
      <c r="O1" s="77" t="s">
        <v>9</v>
      </c>
      <c r="P1" s="70" t="s">
        <v>552</v>
      </c>
      <c r="Q1" s="70" t="s">
        <v>555</v>
      </c>
      <c r="R1" s="77" t="s">
        <v>9</v>
      </c>
      <c r="S1" s="77" t="s">
        <v>12</v>
      </c>
    </row>
    <row r="2" spans="1:19" s="1" customFormat="1" ht="90" x14ac:dyDescent="0.25">
      <c r="A2" s="4" t="s">
        <v>77</v>
      </c>
      <c r="B2" s="4" t="s">
        <v>176</v>
      </c>
      <c r="C2" s="4" t="s">
        <v>78</v>
      </c>
      <c r="D2" s="4" t="s">
        <v>45</v>
      </c>
      <c r="E2" s="4" t="s">
        <v>79</v>
      </c>
      <c r="F2" s="4" t="s">
        <v>53</v>
      </c>
      <c r="G2" s="9" t="s">
        <v>328</v>
      </c>
      <c r="H2" s="4" t="s">
        <v>80</v>
      </c>
      <c r="I2" s="4" t="s">
        <v>19</v>
      </c>
      <c r="J2" s="15">
        <v>18460</v>
      </c>
      <c r="K2" s="4" t="s">
        <v>20</v>
      </c>
      <c r="L2" s="4">
        <v>2600</v>
      </c>
      <c r="M2" s="4" t="s">
        <v>20</v>
      </c>
      <c r="N2" s="4" t="s">
        <v>501</v>
      </c>
      <c r="O2" s="4" t="s">
        <v>30</v>
      </c>
      <c r="P2" s="17" t="s">
        <v>554</v>
      </c>
      <c r="Q2" s="4" t="s">
        <v>463</v>
      </c>
      <c r="R2" s="4"/>
      <c r="S2" s="9" t="s">
        <v>502</v>
      </c>
    </row>
    <row r="3" spans="1:19" s="1" customFormat="1" ht="165" x14ac:dyDescent="0.25">
      <c r="A3" s="4" t="s">
        <v>72</v>
      </c>
      <c r="B3" s="4" t="s">
        <v>73</v>
      </c>
      <c r="C3" s="4" t="s">
        <v>64</v>
      </c>
      <c r="D3" s="4" t="s">
        <v>45</v>
      </c>
      <c r="E3" s="4" t="s">
        <v>74</v>
      </c>
      <c r="F3" s="4" t="s">
        <v>53</v>
      </c>
      <c r="G3" s="16" t="s">
        <v>384</v>
      </c>
      <c r="H3" s="4" t="s">
        <v>75</v>
      </c>
      <c r="I3" s="4" t="s">
        <v>19</v>
      </c>
      <c r="J3" s="4">
        <v>36400</v>
      </c>
      <c r="K3" s="4" t="s">
        <v>20</v>
      </c>
      <c r="L3" s="15">
        <v>36400</v>
      </c>
      <c r="M3" s="4" t="s">
        <v>20</v>
      </c>
      <c r="N3" s="4" t="s">
        <v>473</v>
      </c>
      <c r="O3" s="4" t="s">
        <v>30</v>
      </c>
      <c r="P3" s="17" t="s">
        <v>554</v>
      </c>
      <c r="Q3" s="4" t="s">
        <v>49</v>
      </c>
      <c r="R3" s="4"/>
      <c r="S3" s="16" t="s">
        <v>499</v>
      </c>
    </row>
    <row r="4" spans="1:19" s="1" customFormat="1" ht="45" x14ac:dyDescent="0.25">
      <c r="A4" s="4" t="s">
        <v>178</v>
      </c>
      <c r="B4" s="4" t="s">
        <v>177</v>
      </c>
      <c r="C4" s="4" t="s">
        <v>23</v>
      </c>
      <c r="D4" s="4" t="s">
        <v>45</v>
      </c>
      <c r="E4" s="4" t="s">
        <v>262</v>
      </c>
      <c r="F4" s="4" t="s">
        <v>263</v>
      </c>
      <c r="G4" s="9" t="s">
        <v>323</v>
      </c>
      <c r="H4" s="4" t="s">
        <v>29</v>
      </c>
      <c r="I4" s="4" t="s">
        <v>19</v>
      </c>
      <c r="J4" s="4">
        <v>5000</v>
      </c>
      <c r="K4" s="4" t="s">
        <v>20</v>
      </c>
      <c r="L4" s="4">
        <v>12500</v>
      </c>
      <c r="M4" s="4" t="s">
        <v>385</v>
      </c>
      <c r="N4" s="4" t="s">
        <v>76</v>
      </c>
      <c r="O4" s="4"/>
      <c r="P4" s="17" t="s">
        <v>554</v>
      </c>
      <c r="Q4" s="4" t="s">
        <v>76</v>
      </c>
      <c r="R4" s="4"/>
      <c r="S4" s="16" t="s">
        <v>500</v>
      </c>
    </row>
    <row r="5" spans="1:19" s="1" customFormat="1" ht="180" x14ac:dyDescent="0.25">
      <c r="A5" s="4" t="s">
        <v>42</v>
      </c>
      <c r="B5" s="4" t="s">
        <v>43</v>
      </c>
      <c r="C5" s="4" t="s">
        <v>44</v>
      </c>
      <c r="D5" s="4" t="s">
        <v>45</v>
      </c>
      <c r="E5" s="4" t="s">
        <v>46</v>
      </c>
      <c r="F5" s="4" t="s">
        <v>47</v>
      </c>
      <c r="G5" s="9" t="s">
        <v>323</v>
      </c>
      <c r="H5" s="4" t="s">
        <v>48</v>
      </c>
      <c r="I5" s="4" t="s">
        <v>19</v>
      </c>
      <c r="J5" s="15">
        <v>25000</v>
      </c>
      <c r="K5" s="4" t="s">
        <v>542</v>
      </c>
      <c r="L5" s="15">
        <v>25000</v>
      </c>
      <c r="M5" s="4" t="s">
        <v>542</v>
      </c>
      <c r="N5" s="4" t="s">
        <v>76</v>
      </c>
      <c r="O5" s="4"/>
      <c r="P5" s="17" t="s">
        <v>554</v>
      </c>
      <c r="Q5" s="4" t="s">
        <v>49</v>
      </c>
      <c r="R5" s="4" t="s">
        <v>20</v>
      </c>
      <c r="S5" s="16" t="s">
        <v>498</v>
      </c>
    </row>
    <row r="6" spans="1:19" s="1" customFormat="1" ht="90" x14ac:dyDescent="0.25">
      <c r="A6" s="4" t="s">
        <v>81</v>
      </c>
      <c r="B6" s="4" t="s">
        <v>82</v>
      </c>
      <c r="C6" s="4" t="s">
        <v>23</v>
      </c>
      <c r="D6" s="4" t="s">
        <v>45</v>
      </c>
      <c r="E6" s="4" t="s">
        <v>83</v>
      </c>
      <c r="F6" s="4" t="s">
        <v>84</v>
      </c>
      <c r="G6" s="9" t="s">
        <v>329</v>
      </c>
      <c r="H6" s="4" t="s">
        <v>41</v>
      </c>
      <c r="I6" s="4" t="s">
        <v>19</v>
      </c>
      <c r="J6" s="4">
        <v>1562</v>
      </c>
      <c r="K6" s="4" t="s">
        <v>542</v>
      </c>
      <c r="L6" s="4">
        <v>40000</v>
      </c>
      <c r="M6" s="4" t="s">
        <v>385</v>
      </c>
      <c r="N6" s="4" t="s">
        <v>76</v>
      </c>
      <c r="O6" s="4" t="s">
        <v>20</v>
      </c>
      <c r="P6" s="17" t="s">
        <v>554</v>
      </c>
      <c r="Q6" s="4" t="s">
        <v>49</v>
      </c>
      <c r="R6" s="4"/>
      <c r="S6" s="16" t="s">
        <v>497</v>
      </c>
    </row>
    <row r="7" spans="1:19" s="1" customFormat="1" ht="90" x14ac:dyDescent="0.25">
      <c r="A7" s="4" t="s">
        <v>89</v>
      </c>
      <c r="B7" s="4" t="s">
        <v>90</v>
      </c>
      <c r="C7" s="4" t="s">
        <v>91</v>
      </c>
      <c r="D7" s="4" t="s">
        <v>45</v>
      </c>
      <c r="E7" s="20" t="s">
        <v>92</v>
      </c>
      <c r="F7" s="4" t="s">
        <v>53</v>
      </c>
      <c r="G7" s="9" t="s">
        <v>331</v>
      </c>
      <c r="H7" s="4" t="s">
        <v>93</v>
      </c>
      <c r="I7" s="4" t="s">
        <v>19</v>
      </c>
      <c r="J7" s="15">
        <v>10000</v>
      </c>
      <c r="K7" s="4" t="s">
        <v>20</v>
      </c>
      <c r="L7" s="15">
        <v>10000</v>
      </c>
      <c r="M7" s="4" t="s">
        <v>20</v>
      </c>
      <c r="N7" s="4" t="s">
        <v>76</v>
      </c>
      <c r="O7" s="4"/>
      <c r="P7" s="17" t="s">
        <v>554</v>
      </c>
      <c r="Q7" s="4" t="s">
        <v>49</v>
      </c>
      <c r="R7" s="4"/>
      <c r="S7" s="16" t="s">
        <v>495</v>
      </c>
    </row>
    <row r="8" spans="1:19" s="1" customFormat="1" ht="60" x14ac:dyDescent="0.25">
      <c r="A8" s="4" t="s">
        <v>50</v>
      </c>
      <c r="B8" s="4" t="s">
        <v>51</v>
      </c>
      <c r="C8" s="4" t="s">
        <v>33</v>
      </c>
      <c r="D8" s="4" t="s">
        <v>45</v>
      </c>
      <c r="E8" s="4" t="s">
        <v>52</v>
      </c>
      <c r="F8" s="4" t="s">
        <v>53</v>
      </c>
      <c r="G8" s="9" t="s">
        <v>324</v>
      </c>
      <c r="H8" s="4" t="s">
        <v>54</v>
      </c>
      <c r="I8" s="4" t="s">
        <v>19</v>
      </c>
      <c r="J8" s="4">
        <v>15000</v>
      </c>
      <c r="K8" s="4" t="s">
        <v>20</v>
      </c>
      <c r="L8" s="4">
        <v>20000</v>
      </c>
      <c r="M8" s="4" t="s">
        <v>20</v>
      </c>
      <c r="N8" s="4" t="s">
        <v>76</v>
      </c>
      <c r="O8" s="4"/>
      <c r="P8" s="17" t="s">
        <v>554</v>
      </c>
      <c r="Q8" s="4">
        <v>0</v>
      </c>
      <c r="R8" s="4" t="s">
        <v>20</v>
      </c>
      <c r="S8" s="16" t="s">
        <v>472</v>
      </c>
    </row>
    <row r="9" spans="1:19" s="1" customFormat="1" ht="105" x14ac:dyDescent="0.25">
      <c r="A9" s="4" t="s">
        <v>56</v>
      </c>
      <c r="B9" s="4" t="s">
        <v>57</v>
      </c>
      <c r="C9" s="4" t="s">
        <v>58</v>
      </c>
      <c r="D9" s="4" t="s">
        <v>45</v>
      </c>
      <c r="E9" s="4" t="s">
        <v>59</v>
      </c>
      <c r="F9" s="4" t="s">
        <v>53</v>
      </c>
      <c r="G9" s="9" t="s">
        <v>325</v>
      </c>
      <c r="H9" s="4" t="s">
        <v>60</v>
      </c>
      <c r="I9" s="4" t="s">
        <v>19</v>
      </c>
      <c r="J9" s="4">
        <v>75000</v>
      </c>
      <c r="K9" s="4" t="s">
        <v>20</v>
      </c>
      <c r="L9" s="4">
        <v>26000</v>
      </c>
      <c r="M9" s="4" t="s">
        <v>20</v>
      </c>
      <c r="N9" s="4">
        <v>50000</v>
      </c>
      <c r="O9" s="4" t="s">
        <v>20</v>
      </c>
      <c r="P9" s="17" t="s">
        <v>553</v>
      </c>
      <c r="Q9" s="15">
        <f>J9-N9</f>
        <v>25000</v>
      </c>
      <c r="R9" s="4" t="s">
        <v>20</v>
      </c>
      <c r="S9" s="16" t="s">
        <v>534</v>
      </c>
    </row>
    <row r="10" spans="1:19" s="1" customFormat="1" ht="60" x14ac:dyDescent="0.25">
      <c r="A10" s="4" t="s">
        <v>85</v>
      </c>
      <c r="B10" s="4" t="s">
        <v>86</v>
      </c>
      <c r="C10" s="4" t="s">
        <v>23</v>
      </c>
      <c r="D10" s="4" t="s">
        <v>45</v>
      </c>
      <c r="E10" s="4" t="s">
        <v>87</v>
      </c>
      <c r="F10" s="4" t="s">
        <v>88</v>
      </c>
      <c r="G10" s="9" t="s">
        <v>330</v>
      </c>
      <c r="H10" s="4" t="s">
        <v>41</v>
      </c>
      <c r="I10" s="4" t="s">
        <v>19</v>
      </c>
      <c r="J10" s="15">
        <v>19500</v>
      </c>
      <c r="K10" s="4" t="s">
        <v>542</v>
      </c>
      <c r="L10" s="15">
        <v>19500</v>
      </c>
      <c r="M10" s="4" t="s">
        <v>542</v>
      </c>
      <c r="N10" s="4" t="s">
        <v>76</v>
      </c>
      <c r="O10" s="4" t="s">
        <v>20</v>
      </c>
      <c r="P10" s="17" t="s">
        <v>554</v>
      </c>
      <c r="Q10" s="4">
        <v>0</v>
      </c>
      <c r="R10" s="4" t="s">
        <v>20</v>
      </c>
      <c r="S10" s="9" t="s">
        <v>496</v>
      </c>
    </row>
    <row r="11" spans="1:19" s="1" customFormat="1" ht="105" x14ac:dyDescent="0.25">
      <c r="A11" s="4" t="s">
        <v>62</v>
      </c>
      <c r="B11" s="4" t="s">
        <v>63</v>
      </c>
      <c r="C11" s="4" t="s">
        <v>64</v>
      </c>
      <c r="D11" s="4" t="s">
        <v>45</v>
      </c>
      <c r="E11" s="4" t="s">
        <v>65</v>
      </c>
      <c r="F11" s="4" t="s">
        <v>47</v>
      </c>
      <c r="G11" s="9" t="s">
        <v>326</v>
      </c>
      <c r="H11" s="4" t="s">
        <v>294</v>
      </c>
      <c r="I11" s="4" t="s">
        <v>19</v>
      </c>
      <c r="J11" s="4" t="s">
        <v>61</v>
      </c>
      <c r="K11" s="4" t="s">
        <v>61</v>
      </c>
      <c r="L11" s="4" t="s">
        <v>61</v>
      </c>
      <c r="M11" s="4" t="s">
        <v>61</v>
      </c>
      <c r="N11" s="4">
        <v>0</v>
      </c>
      <c r="O11" s="4" t="s">
        <v>20</v>
      </c>
      <c r="P11" s="17" t="s">
        <v>554</v>
      </c>
      <c r="Q11" s="4">
        <v>0</v>
      </c>
      <c r="R11" s="4" t="s">
        <v>20</v>
      </c>
      <c r="S11" s="16" t="s">
        <v>474</v>
      </c>
    </row>
    <row r="12" spans="1:19" s="1" customFormat="1" ht="105" x14ac:dyDescent="0.25">
      <c r="A12" s="3" t="s">
        <v>378</v>
      </c>
      <c r="B12" s="5" t="s">
        <v>377</v>
      </c>
      <c r="C12" s="4" t="s">
        <v>382</v>
      </c>
      <c r="D12" s="3" t="s">
        <v>45</v>
      </c>
      <c r="E12" s="3" t="s">
        <v>379</v>
      </c>
      <c r="F12" s="3" t="s">
        <v>380</v>
      </c>
      <c r="G12" s="5" t="s">
        <v>381</v>
      </c>
      <c r="H12" s="4" t="s">
        <v>383</v>
      </c>
      <c r="I12" s="4" t="s">
        <v>235</v>
      </c>
      <c r="J12" s="4">
        <v>2600</v>
      </c>
      <c r="K12" s="4" t="s">
        <v>20</v>
      </c>
      <c r="L12" s="4">
        <v>2600</v>
      </c>
      <c r="M12" s="4" t="s">
        <v>542</v>
      </c>
      <c r="N12" s="4" t="s">
        <v>76</v>
      </c>
      <c r="O12" s="4"/>
      <c r="P12" s="17" t="s">
        <v>554</v>
      </c>
      <c r="Q12" s="4">
        <v>0</v>
      </c>
      <c r="R12" s="4" t="s">
        <v>20</v>
      </c>
      <c r="S12" s="5" t="s">
        <v>503</v>
      </c>
    </row>
    <row r="13" spans="1:19" ht="45" x14ac:dyDescent="0.25">
      <c r="A13" s="4" t="s">
        <v>66</v>
      </c>
      <c r="B13" s="4" t="s">
        <v>67</v>
      </c>
      <c r="C13" s="4" t="s">
        <v>493</v>
      </c>
      <c r="D13" s="4" t="s">
        <v>45</v>
      </c>
      <c r="E13" s="4" t="s">
        <v>68</v>
      </c>
      <c r="F13" s="4" t="s">
        <v>69</v>
      </c>
      <c r="G13" s="9" t="s">
        <v>327</v>
      </c>
      <c r="H13" s="4" t="s">
        <v>70</v>
      </c>
      <c r="I13" s="4" t="s">
        <v>19</v>
      </c>
      <c r="J13" s="15">
        <v>45500</v>
      </c>
      <c r="K13" s="4" t="s">
        <v>20</v>
      </c>
      <c r="L13" s="15">
        <v>63000</v>
      </c>
      <c r="M13" s="4" t="s">
        <v>20</v>
      </c>
      <c r="N13" s="4" t="s">
        <v>76</v>
      </c>
      <c r="O13" s="4"/>
      <c r="P13" s="17" t="s">
        <v>554</v>
      </c>
      <c r="Q13" s="4" t="s">
        <v>76</v>
      </c>
      <c r="R13" s="4"/>
      <c r="S13" s="9" t="s">
        <v>494</v>
      </c>
    </row>
    <row r="14" spans="1:19" x14ac:dyDescent="0.25">
      <c r="H14" s="1"/>
      <c r="I14" s="1"/>
      <c r="J14" s="1"/>
      <c r="K14" s="1"/>
      <c r="L14" s="1">
        <f>SUM(L2:L13)</f>
        <v>257600</v>
      </c>
      <c r="M14" s="1"/>
      <c r="N14" s="1"/>
      <c r="O14" s="1"/>
      <c r="Q14" s="1"/>
      <c r="R14" s="1"/>
    </row>
    <row r="15" spans="1:19" ht="30" x14ac:dyDescent="0.25">
      <c r="H15" s="1"/>
      <c r="I15" s="83" t="s">
        <v>540</v>
      </c>
      <c r="J15" s="67" t="s">
        <v>541</v>
      </c>
      <c r="K15" s="1"/>
      <c r="L15" s="1"/>
      <c r="M15" s="1"/>
      <c r="N15" s="1"/>
      <c r="O15" s="1"/>
      <c r="Q15" s="1">
        <f>SUM(Q5:Q13)</f>
        <v>25000</v>
      </c>
      <c r="R15" s="1"/>
    </row>
    <row r="16" spans="1:19" x14ac:dyDescent="0.25">
      <c r="H16" s="68" t="s">
        <v>80</v>
      </c>
      <c r="I16" s="81">
        <f>SUM(L2)</f>
        <v>2600</v>
      </c>
      <c r="J16" s="81">
        <f>SUM((L2)-(0))</f>
        <v>2600</v>
      </c>
      <c r="K16" s="1"/>
      <c r="L16" s="1"/>
      <c r="M16" s="1"/>
      <c r="N16" s="1"/>
      <c r="O16" s="1"/>
      <c r="Q16" s="1"/>
      <c r="R16" s="1"/>
    </row>
    <row r="17" spans="8:18" x14ac:dyDescent="0.25">
      <c r="H17" s="68" t="s">
        <v>138</v>
      </c>
      <c r="I17" s="81">
        <f>SUM(L7+L4+L8)</f>
        <v>42500</v>
      </c>
      <c r="J17" s="81">
        <f>SUM((L7+L4+L8)-(0))</f>
        <v>42500</v>
      </c>
      <c r="K17" s="1"/>
      <c r="L17" s="1"/>
      <c r="M17" s="1"/>
      <c r="N17" s="1"/>
      <c r="O17" s="1"/>
      <c r="Q17" s="1"/>
      <c r="R17" s="1"/>
    </row>
    <row r="18" spans="8:18" x14ac:dyDescent="0.25">
      <c r="H18" s="60" t="s">
        <v>538</v>
      </c>
      <c r="I18" s="58">
        <f>SUM(L12+L5+L9+L3)</f>
        <v>90000</v>
      </c>
      <c r="J18" s="58">
        <f>SUM((L12+L9+L5+L3)-(25000))</f>
        <v>65000</v>
      </c>
    </row>
    <row r="19" spans="8:18" x14ac:dyDescent="0.25">
      <c r="H19" s="60" t="s">
        <v>539</v>
      </c>
      <c r="I19" s="58">
        <f>SUM(L13+L10+L6)</f>
        <v>122500</v>
      </c>
      <c r="J19" s="58">
        <v>122500</v>
      </c>
    </row>
    <row r="20" spans="8:18" x14ac:dyDescent="0.25">
      <c r="H20" s="87" t="s">
        <v>556</v>
      </c>
      <c r="I20" s="84">
        <f>SUM(I16:I19)</f>
        <v>257600</v>
      </c>
      <c r="J20" s="84">
        <f>SUM(J16:J19)</f>
        <v>232600</v>
      </c>
    </row>
    <row r="21" spans="8:18" x14ac:dyDescent="0.25">
      <c r="J21" s="89" t="s">
        <v>557</v>
      </c>
      <c r="K21" s="90">
        <f>SUM(I20-J20)</f>
        <v>25000</v>
      </c>
    </row>
  </sheetData>
  <autoFilter ref="A1:S13"/>
  <sortState ref="A2:R13">
    <sortCondition ref="B2:B13"/>
  </sortState>
  <pageMargins left="0.7" right="0.7" top="0.75" bottom="0.75" header="0.3" footer="0.3"/>
  <pageSetup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A74864A2E57DD4F8DFA48A4BE218827" ma:contentTypeVersion="13" ma:contentTypeDescription="Create a new document." ma:contentTypeScope="" ma:versionID="aa4510d59dda02d5af8c7d59c66f44d9">
  <xsd:schema xmlns:xsd="http://www.w3.org/2001/XMLSchema" xmlns:xs="http://www.w3.org/2001/XMLSchema" xmlns:p="http://schemas.microsoft.com/office/2006/metadata/properties" xmlns:ns3="1338b26c-0771-4818-8a32-7a194a18fa51" xmlns:ns4="94b4a6bc-44aa-49a6-a5bf-7b43cf887cc5" targetNamespace="http://schemas.microsoft.com/office/2006/metadata/properties" ma:root="true" ma:fieldsID="dd7a99ff5830ef5c240f5b58d092525e" ns3:_="" ns4:_="">
    <xsd:import namespace="1338b26c-0771-4818-8a32-7a194a18fa51"/>
    <xsd:import namespace="94b4a6bc-44aa-49a6-a5bf-7b43cf887cc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8b26c-0771-4818-8a32-7a194a18fa5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b4a6bc-44aa-49a6-a5bf-7b43cf887cc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B6742D-E695-4790-AC10-28CC44CD9406}">
  <ds:schemaRefs>
    <ds:schemaRef ds:uri="http://purl.org/dc/dcmitype/"/>
    <ds:schemaRef ds:uri="http://schemas.microsoft.com/office/infopath/2007/PartnerControls"/>
    <ds:schemaRef ds:uri="http://purl.org/dc/elements/1.1/"/>
    <ds:schemaRef ds:uri="http://schemas.microsoft.com/office/2006/metadata/properties"/>
    <ds:schemaRef ds:uri="94b4a6bc-44aa-49a6-a5bf-7b43cf887cc5"/>
    <ds:schemaRef ds:uri="http://schemas.microsoft.com/office/2006/documentManagement/types"/>
    <ds:schemaRef ds:uri="1338b26c-0771-4818-8a32-7a194a18fa51"/>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A38C97E-0D23-43BC-8EE6-8ABA7CB42922}">
  <ds:schemaRefs>
    <ds:schemaRef ds:uri="http://schemas.microsoft.com/sharepoint/v3/contenttype/forms"/>
  </ds:schemaRefs>
</ds:datastoreItem>
</file>

<file path=customXml/itemProps3.xml><?xml version="1.0" encoding="utf-8"?>
<ds:datastoreItem xmlns:ds="http://schemas.openxmlformats.org/officeDocument/2006/customXml" ds:itemID="{25604737-60A3-4E16-BF8A-E25BE99368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38b26c-0771-4818-8a32-7a194a18fa51"/>
    <ds:schemaRef ds:uri="94b4a6bc-44aa-49a6-a5bf-7b43cf887c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Summary</vt:lpstr>
      <vt:lpstr>Santa Clara Small Facilities</vt:lpstr>
      <vt:lpstr>Alameda</vt:lpstr>
      <vt:lpstr>Contra Costa</vt:lpstr>
      <vt:lpstr>Fresno</vt:lpstr>
      <vt:lpstr>Kings</vt:lpstr>
      <vt:lpstr>Marin</vt:lpstr>
      <vt:lpstr>Merced</vt:lpstr>
      <vt:lpstr>Monterey</vt:lpstr>
      <vt:lpstr>Napa</vt:lpstr>
      <vt:lpstr>San Benito</vt:lpstr>
      <vt:lpstr>San Francisco</vt:lpstr>
      <vt:lpstr>San Joaquin</vt:lpstr>
      <vt:lpstr>San Mateo</vt:lpstr>
      <vt:lpstr>Santa Cruz</vt:lpstr>
      <vt:lpstr>Sonoma</vt:lpstr>
      <vt:lpstr>Stanislaus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Purington, Elizabeth</dc:creator>
  <cp:lastModifiedBy>Bills, Tracie</cp:lastModifiedBy>
  <dcterms:created xsi:type="dcterms:W3CDTF">2022-06-16T00:41:01Z</dcterms:created>
  <dcterms:modified xsi:type="dcterms:W3CDTF">2022-10-04T19:45:31Z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0x010100BA74864A2E57DD4F8DFA48A4BE218827</vt:lpwstr>
  </property>
</Properties>
</file>