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bc-fs01\DATA\PROJECTS\01221291.00\Task 4_Projections\"/>
    </mc:Choice>
  </mc:AlternateContent>
  <bookViews>
    <workbookView xWindow="0" yWindow="0" windowWidth="19200" windowHeight="8145" activeTab="2"/>
  </bookViews>
  <sheets>
    <sheet name="Waste by Jurisdiction" sheetId="1" r:id="rId1"/>
    <sheet name="Org Projections by City" sheetId="2" r:id="rId2"/>
    <sheet name="Projected Capacity Needs" sheetId="7" r:id="rId3"/>
    <sheet name="Summary" sheetId="8" r:id="rId4"/>
    <sheet name="Santa Clara County Pop." sheetId="6" r:id="rId5"/>
    <sheet name="CalRecycle 2018- Edited" sheetId="5" r:id="rId6"/>
    <sheet name="CalRecycle 2018- Original" sheetId="4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7" l="1"/>
  <c r="J14" i="7"/>
  <c r="T59" i="1"/>
  <c r="S17" i="7" l="1"/>
  <c r="R17" i="7"/>
  <c r="Q17" i="7"/>
  <c r="P17" i="7"/>
  <c r="O17" i="7"/>
  <c r="N17" i="7"/>
  <c r="M17" i="7"/>
  <c r="L17" i="7"/>
  <c r="K17" i="7"/>
  <c r="J17" i="7"/>
  <c r="T17" i="7" s="1"/>
  <c r="I17" i="7"/>
  <c r="H17" i="7"/>
  <c r="H11" i="2"/>
  <c r="G10" i="2" l="1"/>
  <c r="I10" i="2" s="1"/>
  <c r="G15" i="7"/>
  <c r="G74" i="1"/>
  <c r="G23" i="7"/>
  <c r="G24" i="7"/>
  <c r="J93" i="8" l="1"/>
  <c r="C80" i="8"/>
  <c r="D80" i="8"/>
  <c r="E80" i="8"/>
  <c r="F80" i="8"/>
  <c r="G80" i="8"/>
  <c r="H80" i="8"/>
  <c r="I80" i="8"/>
  <c r="J80" i="8" s="1"/>
  <c r="D82" i="8"/>
  <c r="E82" i="8"/>
  <c r="F82" i="8" s="1"/>
  <c r="G82" i="8"/>
  <c r="H82" i="8" s="1"/>
  <c r="I82" i="8"/>
  <c r="J82" i="8"/>
  <c r="E83" i="8"/>
  <c r="F83" i="8"/>
  <c r="I83" i="8"/>
  <c r="J83" i="8"/>
  <c r="C84" i="8"/>
  <c r="D84" i="8" s="1"/>
  <c r="E84" i="8"/>
  <c r="F84" i="8"/>
  <c r="G84" i="8"/>
  <c r="H84" i="8" s="1"/>
  <c r="I84" i="8"/>
  <c r="J84" i="8" s="1"/>
  <c r="C86" i="8"/>
  <c r="D86" i="8" s="1"/>
  <c r="E86" i="8"/>
  <c r="F86" i="8"/>
  <c r="G86" i="8"/>
  <c r="H86" i="8" s="1"/>
  <c r="I86" i="8"/>
  <c r="J86" i="8" s="1"/>
  <c r="C87" i="8"/>
  <c r="D87" i="8" s="1"/>
  <c r="E87" i="8"/>
  <c r="F87" i="8"/>
  <c r="G87" i="8"/>
  <c r="H87" i="8" s="1"/>
  <c r="I87" i="8"/>
  <c r="J87" i="8" s="1"/>
  <c r="C88" i="8"/>
  <c r="D88" i="8"/>
  <c r="E88" i="8"/>
  <c r="F88" i="8"/>
  <c r="G88" i="8"/>
  <c r="H88" i="8"/>
  <c r="I88" i="8"/>
  <c r="J88" i="8"/>
  <c r="C89" i="8"/>
  <c r="D89" i="8" s="1"/>
  <c r="E89" i="8"/>
  <c r="F89" i="8"/>
  <c r="G89" i="8"/>
  <c r="H89" i="8" s="1"/>
  <c r="I89" i="8"/>
  <c r="J89" i="8" s="1"/>
  <c r="C90" i="8"/>
  <c r="D90" i="8" s="1"/>
  <c r="E90" i="8"/>
  <c r="F90" i="8"/>
  <c r="G90" i="8"/>
  <c r="H90" i="8" s="1"/>
  <c r="I90" i="8"/>
  <c r="J90" i="8" s="1"/>
  <c r="C91" i="8"/>
  <c r="D91" i="8" s="1"/>
  <c r="E91" i="8"/>
  <c r="F91" i="8"/>
  <c r="G91" i="8"/>
  <c r="H91" i="8" s="1"/>
  <c r="I91" i="8"/>
  <c r="J91" i="8" s="1"/>
  <c r="C92" i="8"/>
  <c r="D92" i="8" s="1"/>
  <c r="E92" i="8"/>
  <c r="F92" i="8"/>
  <c r="G92" i="8"/>
  <c r="H92" i="8" s="1"/>
  <c r="I92" i="8"/>
  <c r="J92" i="8" s="1"/>
  <c r="C93" i="8"/>
  <c r="D93" i="8" s="1"/>
  <c r="E93" i="8"/>
  <c r="F93" i="8"/>
  <c r="G93" i="8"/>
  <c r="H93" i="8" s="1"/>
  <c r="I93" i="8"/>
  <c r="H51" i="8"/>
  <c r="C58" i="8"/>
  <c r="T56" i="1"/>
  <c r="D30" i="8" s="1"/>
  <c r="J66" i="1"/>
  <c r="J63" i="1"/>
  <c r="T48" i="1"/>
  <c r="D18" i="8" s="1"/>
  <c r="O58" i="1"/>
  <c r="F46" i="8" s="1"/>
  <c r="O56" i="1"/>
  <c r="O50" i="1"/>
  <c r="O48" i="1"/>
  <c r="J50" i="1"/>
  <c r="J48" i="1"/>
  <c r="O20" i="1"/>
  <c r="L24" i="7"/>
  <c r="D46" i="8"/>
  <c r="O59" i="1"/>
  <c r="C63" i="8" s="1"/>
  <c r="G46" i="8"/>
  <c r="C46" i="8"/>
  <c r="D41" i="8" l="1"/>
  <c r="E41" i="8" s="1"/>
  <c r="J59" i="1"/>
  <c r="J21" i="1"/>
  <c r="G50" i="2"/>
  <c r="J13" i="1"/>
  <c r="G41" i="8" l="1"/>
  <c r="H41" i="8" s="1"/>
  <c r="G122" i="2"/>
  <c r="G123" i="2" s="1"/>
  <c r="G124" i="2" s="1"/>
  <c r="G125" i="2" s="1"/>
  <c r="G126" i="2" s="1"/>
  <c r="O21" i="1"/>
  <c r="G120" i="2" s="1"/>
  <c r="O13" i="1"/>
  <c r="J8" i="7" l="1"/>
  <c r="J10" i="7" s="1"/>
  <c r="O27" i="1"/>
  <c r="O43" i="1" l="1"/>
  <c r="O64" i="1"/>
  <c r="M39" i="8"/>
  <c r="L39" i="8"/>
  <c r="H5" i="6" l="1"/>
  <c r="I35" i="1"/>
  <c r="J73" i="1"/>
  <c r="J60" i="1"/>
  <c r="J43" i="1"/>
  <c r="J35" i="1"/>
  <c r="J28" i="1"/>
  <c r="R74" i="5" l="1"/>
  <c r="P74" i="5"/>
  <c r="L74" i="5"/>
  <c r="J74" i="5"/>
  <c r="F74" i="5"/>
  <c r="D74" i="5"/>
  <c r="I72" i="1" l="1"/>
  <c r="S72" i="1"/>
  <c r="O7" i="1"/>
  <c r="D60" i="8" l="1"/>
  <c r="P72" i="1" l="1"/>
  <c r="P66" i="1"/>
  <c r="C74" i="8"/>
  <c r="P35" i="1" l="1"/>
  <c r="H134" i="2" l="1"/>
  <c r="O19" i="8"/>
  <c r="O72" i="1" l="1"/>
  <c r="N72" i="1"/>
  <c r="M72" i="1"/>
  <c r="K72" i="1"/>
  <c r="G68" i="1"/>
  <c r="T68" i="1" s="1"/>
  <c r="F30" i="8" s="1"/>
  <c r="N66" i="1"/>
  <c r="M66" i="1"/>
  <c r="K66" i="1"/>
  <c r="I66" i="1"/>
  <c r="G63" i="1"/>
  <c r="T63" i="1" s="1"/>
  <c r="F18" i="8" s="1"/>
  <c r="M19" i="8" s="1"/>
  <c r="T30" i="1"/>
  <c r="S34" i="1"/>
  <c r="O34" i="1"/>
  <c r="N34" i="1"/>
  <c r="M34" i="1"/>
  <c r="K34" i="1"/>
  <c r="G34" i="1"/>
  <c r="N28" i="1"/>
  <c r="M28" i="1"/>
  <c r="K28" i="1"/>
  <c r="I28" i="1"/>
  <c r="G25" i="1"/>
  <c r="G28" i="1" s="1"/>
  <c r="H30" i="8" l="1"/>
  <c r="G66" i="1"/>
  <c r="G72" i="1"/>
  <c r="H18" i="8"/>
  <c r="N73" i="1" l="1"/>
  <c r="O9" i="7"/>
  <c r="T64" i="1"/>
  <c r="F20" i="8" s="1"/>
  <c r="T65" i="1"/>
  <c r="F17" i="8" s="1"/>
  <c r="M16" i="8" s="1"/>
  <c r="H73" i="1"/>
  <c r="S66" i="1"/>
  <c r="R66" i="1"/>
  <c r="Q66" i="1"/>
  <c r="O66" i="1"/>
  <c r="I73" i="1"/>
  <c r="K73" i="1"/>
  <c r="M73" i="1"/>
  <c r="J74" i="1"/>
  <c r="M20" i="8" l="1"/>
  <c r="M18" i="8"/>
  <c r="M17" i="8"/>
  <c r="M15" i="8"/>
  <c r="H50" i="2"/>
  <c r="J15" i="7"/>
  <c r="E58" i="8"/>
  <c r="G52" i="2"/>
  <c r="G53" i="2" s="1"/>
  <c r="G54" i="2" s="1"/>
  <c r="G55" i="2" s="1"/>
  <c r="G56" i="2" s="1"/>
  <c r="D56" i="8"/>
  <c r="D58" i="8"/>
  <c r="D61" i="8"/>
  <c r="D59" i="8"/>
  <c r="D57" i="8"/>
  <c r="O8" i="7"/>
  <c r="D62" i="8"/>
  <c r="H52" i="2"/>
  <c r="J36" i="1"/>
  <c r="O73" i="1"/>
  <c r="H94" i="2"/>
  <c r="H95" i="2" s="1"/>
  <c r="M35" i="1"/>
  <c r="H53" i="2" l="1"/>
  <c r="F58" i="8"/>
  <c r="I52" i="2"/>
  <c r="I53" i="2" s="1"/>
  <c r="D63" i="8"/>
  <c r="H92" i="2"/>
  <c r="H96" i="2"/>
  <c r="L10" i="7"/>
  <c r="H10" i="7"/>
  <c r="H80" i="2"/>
  <c r="H81" i="2" s="1"/>
  <c r="H78" i="2"/>
  <c r="H24" i="2"/>
  <c r="H25" i="2" s="1"/>
  <c r="H26" i="2" s="1"/>
  <c r="H27" i="2" s="1"/>
  <c r="H28" i="2" s="1"/>
  <c r="H22" i="2"/>
  <c r="H60" i="1"/>
  <c r="K53" i="2" l="1"/>
  <c r="H54" i="2"/>
  <c r="K52" i="2"/>
  <c r="H97" i="2"/>
  <c r="H82" i="2"/>
  <c r="H55" i="2" l="1"/>
  <c r="I54" i="2"/>
  <c r="K54" i="2" s="1"/>
  <c r="H98" i="2"/>
  <c r="H83" i="2"/>
  <c r="H56" i="2" l="1"/>
  <c r="I55" i="2"/>
  <c r="K55" i="2" s="1"/>
  <c r="H84" i="2"/>
  <c r="I56" i="2" l="1"/>
  <c r="J16" i="7" s="1"/>
  <c r="E28" i="2"/>
  <c r="E27" i="2"/>
  <c r="E26" i="2"/>
  <c r="E25" i="2"/>
  <c r="E24" i="2"/>
  <c r="E23" i="2"/>
  <c r="C23" i="2"/>
  <c r="C24" i="2" s="1"/>
  <c r="C25" i="2" s="1"/>
  <c r="C26" i="2" s="1"/>
  <c r="C27" i="2" s="1"/>
  <c r="C28" i="2" s="1"/>
  <c r="E22" i="2"/>
  <c r="K56" i="2" l="1"/>
  <c r="H122" i="2"/>
  <c r="H123" i="2" s="1"/>
  <c r="H124" i="2" s="1"/>
  <c r="H125" i="2" s="1"/>
  <c r="H126" i="2" l="1"/>
  <c r="J16" i="5"/>
  <c r="H46" i="1" l="1"/>
  <c r="H10" i="1"/>
  <c r="G35" i="1"/>
  <c r="G73" i="1"/>
  <c r="G43" i="1"/>
  <c r="G7" i="1"/>
  <c r="H10" i="2" l="1"/>
  <c r="H12" i="2" s="1"/>
  <c r="H13" i="2" s="1"/>
  <c r="H14" i="2" s="1"/>
  <c r="D55" i="8"/>
  <c r="H8" i="2"/>
  <c r="S8" i="7"/>
  <c r="R8" i="7"/>
  <c r="Q9" i="7"/>
  <c r="Q8" i="7"/>
  <c r="N9" i="7"/>
  <c r="N8" i="7"/>
  <c r="M9" i="7"/>
  <c r="M8" i="7"/>
  <c r="K9" i="7"/>
  <c r="K8" i="7"/>
  <c r="I9" i="7"/>
  <c r="I8" i="7"/>
  <c r="G9" i="7"/>
  <c r="G8" i="7"/>
  <c r="E180" i="2"/>
  <c r="E179" i="2"/>
  <c r="E178" i="2"/>
  <c r="E177" i="2"/>
  <c r="E176" i="2"/>
  <c r="E175" i="2"/>
  <c r="C175" i="2"/>
  <c r="C176" i="2" s="1"/>
  <c r="C177" i="2" s="1"/>
  <c r="C178" i="2" s="1"/>
  <c r="C179" i="2" s="1"/>
  <c r="C180" i="2" s="1"/>
  <c r="E174" i="2"/>
  <c r="P9" i="7"/>
  <c r="Q72" i="1"/>
  <c r="R72" i="1"/>
  <c r="T43" i="1"/>
  <c r="G60" i="1"/>
  <c r="I60" i="1"/>
  <c r="K60" i="1"/>
  <c r="L60" i="1"/>
  <c r="M60" i="1"/>
  <c r="N60" i="1"/>
  <c r="O60" i="1"/>
  <c r="P60" i="1"/>
  <c r="Q60" i="1"/>
  <c r="R60" i="1"/>
  <c r="C66" i="8" s="1"/>
  <c r="S46" i="1"/>
  <c r="S51" i="1"/>
  <c r="T33" i="1"/>
  <c r="T32" i="1"/>
  <c r="T31" i="1"/>
  <c r="T27" i="1"/>
  <c r="T26" i="1"/>
  <c r="T14" i="1"/>
  <c r="T7" i="1"/>
  <c r="O28" i="1"/>
  <c r="Q28" i="1"/>
  <c r="S28" i="1"/>
  <c r="O22" i="1"/>
  <c r="S10" i="1"/>
  <c r="O35" i="1" l="1"/>
  <c r="O36" i="1" s="1"/>
  <c r="E46" i="8" s="1"/>
  <c r="S73" i="1"/>
  <c r="R73" i="1"/>
  <c r="Q73" i="1"/>
  <c r="H120" i="2"/>
  <c r="I120" i="2" s="1"/>
  <c r="K120" i="2" s="1"/>
  <c r="S35" i="1"/>
  <c r="T72" i="1"/>
  <c r="R9" i="7"/>
  <c r="R10" i="7" s="1"/>
  <c r="S9" i="7"/>
  <c r="S10" i="7" s="1"/>
  <c r="Q10" i="7"/>
  <c r="K10" i="7"/>
  <c r="O10" i="7"/>
  <c r="G10" i="7"/>
  <c r="N10" i="7"/>
  <c r="T51" i="1"/>
  <c r="T60" i="1" s="1"/>
  <c r="S60" i="1"/>
  <c r="H38" i="2"/>
  <c r="H39" i="2" s="1"/>
  <c r="H40" i="2" s="1"/>
  <c r="T9" i="7" l="1"/>
  <c r="H23" i="7" s="1"/>
  <c r="H174" i="2"/>
  <c r="H176" i="2"/>
  <c r="H177" i="2" s="1"/>
  <c r="H178" i="2" s="1"/>
  <c r="H179" i="2" s="1"/>
  <c r="H180" i="2" s="1"/>
  <c r="D67" i="8"/>
  <c r="D65" i="8"/>
  <c r="D66" i="8"/>
  <c r="U23" i="2"/>
  <c r="U24" i="2" s="1"/>
  <c r="U25" i="2" s="1"/>
  <c r="U26" i="2" s="1"/>
  <c r="H25" i="7" s="1"/>
  <c r="F26" i="8"/>
  <c r="H24" i="7" l="1"/>
  <c r="E6" i="8"/>
  <c r="O40" i="8" s="1"/>
  <c r="E28" i="8"/>
  <c r="E31" i="8"/>
  <c r="E30" i="8"/>
  <c r="U27" i="2"/>
  <c r="H41" i="2"/>
  <c r="H42" i="2" l="1"/>
  <c r="T71" i="1" l="1"/>
  <c r="F27" i="8" s="1"/>
  <c r="T70" i="1"/>
  <c r="F29" i="8" s="1"/>
  <c r="O16" i="8" s="1"/>
  <c r="T69" i="1"/>
  <c r="F32" i="8" s="1"/>
  <c r="O18" i="8" s="1"/>
  <c r="H149" i="2"/>
  <c r="H150" i="2" s="1"/>
  <c r="Q34" i="1"/>
  <c r="H108" i="2"/>
  <c r="H109" i="2" s="1"/>
  <c r="H66" i="2"/>
  <c r="H67" i="2" s="1"/>
  <c r="Q55" i="1"/>
  <c r="P55" i="1"/>
  <c r="M55" i="1"/>
  <c r="L55" i="1"/>
  <c r="G55" i="1"/>
  <c r="R47" i="1"/>
  <c r="P47" i="1"/>
  <c r="N47" i="1"/>
  <c r="I47" i="1"/>
  <c r="R46" i="1"/>
  <c r="Q46" i="1"/>
  <c r="P46" i="1"/>
  <c r="N46" i="1"/>
  <c r="M46" i="1"/>
  <c r="L46" i="1"/>
  <c r="K46" i="1"/>
  <c r="I46" i="1"/>
  <c r="G46" i="1"/>
  <c r="K35" i="1"/>
  <c r="I18" i="1"/>
  <c r="K18" i="1"/>
  <c r="L18" i="1"/>
  <c r="M18" i="1"/>
  <c r="N18" i="1"/>
  <c r="P18" i="1"/>
  <c r="G10" i="1"/>
  <c r="I10" i="1"/>
  <c r="K10" i="1"/>
  <c r="L10" i="1"/>
  <c r="M10" i="1"/>
  <c r="N10" i="1"/>
  <c r="P10" i="1"/>
  <c r="Q10" i="1"/>
  <c r="G11" i="1"/>
  <c r="G22" i="1" s="1"/>
  <c r="I11" i="1"/>
  <c r="I22" i="1" s="1"/>
  <c r="N11" i="1"/>
  <c r="N22" i="1" s="1"/>
  <c r="P11" i="1"/>
  <c r="P22" i="1" s="1"/>
  <c r="Q11" i="1"/>
  <c r="Q22" i="1" s="1"/>
  <c r="R18" i="1"/>
  <c r="R11" i="1"/>
  <c r="R22" i="1" s="1"/>
  <c r="R10" i="1"/>
  <c r="L47" i="1"/>
  <c r="M10" i="7"/>
  <c r="I10" i="7"/>
  <c r="G47" i="1" l="1"/>
  <c r="Q47" i="1"/>
  <c r="N55" i="1"/>
  <c r="Q35" i="1"/>
  <c r="H147" i="2" s="1"/>
  <c r="O20" i="8"/>
  <c r="E32" i="8"/>
  <c r="M11" i="1"/>
  <c r="M22" i="1" s="1"/>
  <c r="K47" i="1"/>
  <c r="I55" i="1"/>
  <c r="R55" i="1"/>
  <c r="O17" i="8"/>
  <c r="E29" i="8"/>
  <c r="L11" i="1"/>
  <c r="L22" i="1" s="1"/>
  <c r="O15" i="8"/>
  <c r="E27" i="8"/>
  <c r="H47" i="1"/>
  <c r="H11" i="1"/>
  <c r="H22" i="1" s="1"/>
  <c r="S47" i="1"/>
  <c r="S11" i="1"/>
  <c r="S22" i="1" s="1"/>
  <c r="H18" i="1"/>
  <c r="H55" i="1"/>
  <c r="S18" i="1"/>
  <c r="S55" i="1"/>
  <c r="K11" i="1"/>
  <c r="K22" i="1" s="1"/>
  <c r="Q18" i="1"/>
  <c r="G18" i="1"/>
  <c r="M47" i="1"/>
  <c r="K55" i="1"/>
  <c r="H64" i="2"/>
  <c r="H110" i="2"/>
  <c r="H111" i="2" s="1"/>
  <c r="H68" i="2"/>
  <c r="H69" i="2" s="1"/>
  <c r="H151" i="2"/>
  <c r="H152" i="2" s="1"/>
  <c r="T10" i="1"/>
  <c r="T46" i="1"/>
  <c r="D16" i="8" s="1"/>
  <c r="H163" i="2"/>
  <c r="H164" i="2" s="1"/>
  <c r="H165" i="2" s="1"/>
  <c r="H166" i="2" s="1"/>
  <c r="T55" i="1" l="1"/>
  <c r="D27" i="8" s="1"/>
  <c r="N15" i="8" s="1"/>
  <c r="T47" i="1"/>
  <c r="D15" i="8" s="1"/>
  <c r="T11" i="1"/>
  <c r="T22" i="1" s="1"/>
  <c r="T18" i="1"/>
  <c r="H16" i="8"/>
  <c r="H167" i="2"/>
  <c r="H153" i="2"/>
  <c r="H112" i="2"/>
  <c r="H70" i="2"/>
  <c r="H15" i="8" l="1"/>
  <c r="H27" i="8"/>
  <c r="O74" i="1"/>
  <c r="H46" i="8" s="1"/>
  <c r="O15" i="7" l="1"/>
  <c r="E63" i="8"/>
  <c r="F63" i="8" s="1"/>
  <c r="E26" i="8"/>
  <c r="C13" i="6"/>
  <c r="C14" i="6"/>
  <c r="C15" i="6"/>
  <c r="C16" i="6"/>
  <c r="C17" i="6"/>
  <c r="C18" i="6"/>
  <c r="C19" i="6"/>
  <c r="C37" i="6"/>
  <c r="C36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7" i="6"/>
  <c r="C8" i="6"/>
  <c r="C9" i="6"/>
  <c r="C10" i="6"/>
  <c r="C11" i="6"/>
  <c r="C12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6" i="6"/>
  <c r="C5" i="6"/>
  <c r="R103" i="5" l="1"/>
  <c r="P103" i="5"/>
  <c r="L103" i="5"/>
  <c r="J103" i="5"/>
  <c r="R69" i="5"/>
  <c r="P69" i="5"/>
  <c r="L69" i="5"/>
  <c r="J69" i="5"/>
  <c r="R60" i="5"/>
  <c r="P60" i="5"/>
  <c r="L60" i="5"/>
  <c r="J60" i="5"/>
  <c r="R16" i="5"/>
  <c r="P16" i="5"/>
  <c r="L16" i="5"/>
  <c r="L115" i="5" s="1"/>
  <c r="F103" i="5"/>
  <c r="D103" i="5"/>
  <c r="F69" i="5"/>
  <c r="D69" i="5"/>
  <c r="D114" i="5" s="1"/>
  <c r="F60" i="5"/>
  <c r="F16" i="5"/>
  <c r="D16" i="5"/>
  <c r="D60" i="5"/>
  <c r="R115" i="5"/>
  <c r="F115" i="5"/>
  <c r="R114" i="5"/>
  <c r="P114" i="5"/>
  <c r="L114" i="5"/>
  <c r="J114" i="5"/>
  <c r="F114" i="5"/>
  <c r="P113" i="5"/>
  <c r="J113" i="5"/>
  <c r="D113" i="5"/>
  <c r="D117" i="5" l="1"/>
  <c r="F117" i="5"/>
  <c r="L117" i="5"/>
  <c r="P117" i="5"/>
  <c r="R117" i="5"/>
  <c r="H44" i="1"/>
  <c r="H49" i="1" s="1"/>
  <c r="S44" i="1"/>
  <c r="S49" i="1" s="1"/>
  <c r="K44" i="1"/>
  <c r="K49" i="1" s="1"/>
  <c r="Q44" i="1"/>
  <c r="P44" i="1"/>
  <c r="P49" i="1" s="1"/>
  <c r="L44" i="1"/>
  <c r="L49" i="1" s="1"/>
  <c r="G44" i="1"/>
  <c r="G49" i="1" s="1"/>
  <c r="R44" i="1"/>
  <c r="I44" i="1"/>
  <c r="N44" i="1"/>
  <c r="N49" i="1" s="1"/>
  <c r="M44" i="1"/>
  <c r="M49" i="1" s="1"/>
  <c r="H57" i="1"/>
  <c r="H19" i="1"/>
  <c r="S19" i="1"/>
  <c r="S57" i="1"/>
  <c r="R57" i="1"/>
  <c r="I57" i="1"/>
  <c r="P19" i="1"/>
  <c r="G19" i="1"/>
  <c r="M57" i="1"/>
  <c r="Q57" i="1"/>
  <c r="G57" i="1"/>
  <c r="Q19" i="1"/>
  <c r="N57" i="1"/>
  <c r="R19" i="1"/>
  <c r="P57" i="1"/>
  <c r="I19" i="1"/>
  <c r="K19" i="1"/>
  <c r="L57" i="1"/>
  <c r="L19" i="1"/>
  <c r="M19" i="1"/>
  <c r="N19" i="1"/>
  <c r="K57" i="1"/>
  <c r="H45" i="1"/>
  <c r="H9" i="1"/>
  <c r="S9" i="1"/>
  <c r="S45" i="1"/>
  <c r="R45" i="1"/>
  <c r="I45" i="1"/>
  <c r="M9" i="1"/>
  <c r="M45" i="1"/>
  <c r="R9" i="1"/>
  <c r="Q45" i="1"/>
  <c r="G45" i="1"/>
  <c r="N9" i="1"/>
  <c r="N45" i="1"/>
  <c r="G9" i="1"/>
  <c r="I9" i="1"/>
  <c r="P45" i="1"/>
  <c r="P9" i="1"/>
  <c r="Q9" i="1"/>
  <c r="L45" i="1"/>
  <c r="K9" i="1"/>
  <c r="K45" i="1"/>
  <c r="L9" i="1"/>
  <c r="J117" i="5"/>
  <c r="H17" i="1"/>
  <c r="H54" i="1"/>
  <c r="S17" i="1"/>
  <c r="S54" i="1"/>
  <c r="M54" i="1"/>
  <c r="I17" i="1"/>
  <c r="R17" i="1"/>
  <c r="R54" i="1"/>
  <c r="N54" i="1"/>
  <c r="L54" i="1"/>
  <c r="L17" i="1"/>
  <c r="M17" i="1"/>
  <c r="G17" i="1"/>
  <c r="K54" i="1"/>
  <c r="K17" i="1"/>
  <c r="I54" i="1"/>
  <c r="Q54" i="1"/>
  <c r="G54" i="1"/>
  <c r="N17" i="1"/>
  <c r="P54" i="1"/>
  <c r="P17" i="1"/>
  <c r="Q17" i="1"/>
  <c r="H15" i="1"/>
  <c r="H52" i="1"/>
  <c r="S15" i="1"/>
  <c r="S52" i="1"/>
  <c r="R52" i="1"/>
  <c r="I52" i="1"/>
  <c r="K15" i="1"/>
  <c r="P15" i="1"/>
  <c r="Q52" i="1"/>
  <c r="G52" i="1"/>
  <c r="L15" i="1"/>
  <c r="P52" i="1"/>
  <c r="M15" i="1"/>
  <c r="R15" i="1"/>
  <c r="N52" i="1"/>
  <c r="N15" i="1"/>
  <c r="M52" i="1"/>
  <c r="L52" i="1"/>
  <c r="G15" i="1"/>
  <c r="Q15" i="1"/>
  <c r="K52" i="1"/>
  <c r="I15" i="1"/>
  <c r="H16" i="1"/>
  <c r="H53" i="1"/>
  <c r="S16" i="1"/>
  <c r="S53" i="1"/>
  <c r="P53" i="1"/>
  <c r="M16" i="1"/>
  <c r="K53" i="1"/>
  <c r="N16" i="1"/>
  <c r="G53" i="1"/>
  <c r="N53" i="1"/>
  <c r="K16" i="1"/>
  <c r="R16" i="1"/>
  <c r="M53" i="1"/>
  <c r="L16" i="1"/>
  <c r="L53" i="1"/>
  <c r="I16" i="1"/>
  <c r="P16" i="1"/>
  <c r="Q16" i="1"/>
  <c r="R53" i="1"/>
  <c r="I53" i="1"/>
  <c r="G16" i="1"/>
  <c r="Q53" i="1"/>
  <c r="N35" i="1"/>
  <c r="R25" i="1"/>
  <c r="T25" i="1" s="1"/>
  <c r="L58" i="1" l="1"/>
  <c r="L13" i="7" s="1"/>
  <c r="Q58" i="1"/>
  <c r="K20" i="1"/>
  <c r="C42" i="8" s="1"/>
  <c r="Q49" i="1"/>
  <c r="Q50" i="1" s="1"/>
  <c r="R20" i="1"/>
  <c r="T19" i="1"/>
  <c r="I49" i="1"/>
  <c r="T49" i="1" s="1"/>
  <c r="D19" i="8" s="1"/>
  <c r="R49" i="1"/>
  <c r="R50" i="1" s="1"/>
  <c r="I20" i="1"/>
  <c r="T16" i="1"/>
  <c r="T17" i="1"/>
  <c r="Q20" i="1"/>
  <c r="P58" i="1"/>
  <c r="R58" i="1"/>
  <c r="T9" i="1"/>
  <c r="M50" i="1"/>
  <c r="K58" i="1"/>
  <c r="T15" i="1"/>
  <c r="G20" i="1"/>
  <c r="K50" i="1"/>
  <c r="L20" i="1"/>
  <c r="S20" i="1"/>
  <c r="N50" i="1"/>
  <c r="S50" i="1"/>
  <c r="S58" i="1"/>
  <c r="T53" i="1"/>
  <c r="D29" i="8" s="1"/>
  <c r="M58" i="1"/>
  <c r="G58" i="1"/>
  <c r="T52" i="1"/>
  <c r="D32" i="8" s="1"/>
  <c r="N18" i="8" s="1"/>
  <c r="H58" i="1"/>
  <c r="H13" i="7" s="1"/>
  <c r="T45" i="1"/>
  <c r="D17" i="8" s="1"/>
  <c r="T57" i="1"/>
  <c r="D31" i="8" s="1"/>
  <c r="L50" i="1"/>
  <c r="I58" i="1"/>
  <c r="T54" i="1"/>
  <c r="D28" i="8" s="1"/>
  <c r="T44" i="1"/>
  <c r="D20" i="8" s="1"/>
  <c r="G50" i="1"/>
  <c r="N20" i="1"/>
  <c r="H20" i="1"/>
  <c r="M20" i="1"/>
  <c r="Q13" i="7"/>
  <c r="F48" i="8"/>
  <c r="N58" i="1"/>
  <c r="P20" i="1"/>
  <c r="P50" i="1"/>
  <c r="H50" i="1"/>
  <c r="R28" i="1"/>
  <c r="H106" i="2"/>
  <c r="R110" i="4"/>
  <c r="L110" i="4"/>
  <c r="F110" i="4"/>
  <c r="R109" i="4"/>
  <c r="P109" i="4"/>
  <c r="L109" i="4"/>
  <c r="J109" i="4"/>
  <c r="F109" i="4"/>
  <c r="D109" i="4"/>
  <c r="P108" i="4"/>
  <c r="J108" i="4"/>
  <c r="D108" i="4"/>
  <c r="G47" i="8" l="1"/>
  <c r="R8" i="1"/>
  <c r="R12" i="1" s="1"/>
  <c r="P8" i="1"/>
  <c r="P12" i="1" s="1"/>
  <c r="L18" i="8"/>
  <c r="L15" i="8"/>
  <c r="L16" i="8"/>
  <c r="G49" i="8"/>
  <c r="R12" i="7"/>
  <c r="Q12" i="7"/>
  <c r="G48" i="8"/>
  <c r="Q59" i="1"/>
  <c r="Q74" i="1" s="1"/>
  <c r="P13" i="1"/>
  <c r="P21" i="1" s="1"/>
  <c r="I50" i="1"/>
  <c r="T50" i="1" s="1"/>
  <c r="D14" i="8" s="1"/>
  <c r="C15" i="8" s="1"/>
  <c r="C45" i="8"/>
  <c r="R59" i="1"/>
  <c r="R74" i="1" s="1"/>
  <c r="C50" i="8"/>
  <c r="C44" i="8"/>
  <c r="C47" i="8"/>
  <c r="C48" i="8"/>
  <c r="H12" i="7"/>
  <c r="H59" i="1"/>
  <c r="P12" i="7"/>
  <c r="P59" i="1"/>
  <c r="H17" i="8"/>
  <c r="L17" i="8"/>
  <c r="C38" i="8"/>
  <c r="T20" i="1"/>
  <c r="P13" i="7"/>
  <c r="F47" i="8"/>
  <c r="N19" i="8"/>
  <c r="H31" i="8"/>
  <c r="R13" i="7"/>
  <c r="F49" i="8"/>
  <c r="H19" i="8"/>
  <c r="L19" i="8"/>
  <c r="H32" i="8"/>
  <c r="N20" i="8"/>
  <c r="G50" i="8"/>
  <c r="S12" i="7"/>
  <c r="S59" i="1"/>
  <c r="K13" i="7"/>
  <c r="F42" i="8"/>
  <c r="I13" i="7"/>
  <c r="F40" i="8"/>
  <c r="G13" i="7"/>
  <c r="F38" i="8"/>
  <c r="F51" i="8" s="1"/>
  <c r="T58" i="1"/>
  <c r="H20" i="8"/>
  <c r="L20" i="8"/>
  <c r="T28" i="1"/>
  <c r="U7" i="2" s="1"/>
  <c r="N13" i="7"/>
  <c r="F45" i="8"/>
  <c r="M13" i="7"/>
  <c r="F44" i="8"/>
  <c r="G45" i="8"/>
  <c r="N59" i="1"/>
  <c r="N12" i="7"/>
  <c r="S13" i="7"/>
  <c r="F50" i="8"/>
  <c r="N16" i="8"/>
  <c r="H28" i="8"/>
  <c r="G42" i="8"/>
  <c r="K12" i="7"/>
  <c r="K59" i="1"/>
  <c r="G12" i="7"/>
  <c r="G38" i="8"/>
  <c r="G59" i="1"/>
  <c r="L12" i="7"/>
  <c r="L59" i="1"/>
  <c r="N17" i="8"/>
  <c r="H29" i="8"/>
  <c r="M12" i="7"/>
  <c r="G44" i="8"/>
  <c r="M59" i="1"/>
  <c r="E167" i="2"/>
  <c r="E166" i="2"/>
  <c r="E165" i="2"/>
  <c r="E164" i="2"/>
  <c r="E163" i="2"/>
  <c r="E162" i="2"/>
  <c r="C162" i="2"/>
  <c r="C163" i="2" s="1"/>
  <c r="C164" i="2" s="1"/>
  <c r="C165" i="2" s="1"/>
  <c r="C166" i="2" s="1"/>
  <c r="C167" i="2" s="1"/>
  <c r="E161" i="2"/>
  <c r="E153" i="2"/>
  <c r="E152" i="2"/>
  <c r="E151" i="2"/>
  <c r="E150" i="2"/>
  <c r="E149" i="2"/>
  <c r="E148" i="2"/>
  <c r="C148" i="2"/>
  <c r="C149" i="2" s="1"/>
  <c r="C150" i="2" s="1"/>
  <c r="C151" i="2" s="1"/>
  <c r="C152" i="2" s="1"/>
  <c r="C153" i="2" s="1"/>
  <c r="E147" i="2"/>
  <c r="E140" i="2"/>
  <c r="E139" i="2"/>
  <c r="E138" i="2"/>
  <c r="E137" i="2"/>
  <c r="E136" i="2"/>
  <c r="E135" i="2"/>
  <c r="C135" i="2"/>
  <c r="C136" i="2" s="1"/>
  <c r="C137" i="2" s="1"/>
  <c r="C138" i="2" s="1"/>
  <c r="C139" i="2" s="1"/>
  <c r="C140" i="2" s="1"/>
  <c r="E134" i="2"/>
  <c r="E126" i="2"/>
  <c r="E125" i="2"/>
  <c r="E124" i="2"/>
  <c r="E123" i="2"/>
  <c r="E122" i="2"/>
  <c r="E121" i="2"/>
  <c r="C121" i="2"/>
  <c r="C122" i="2" s="1"/>
  <c r="C123" i="2" s="1"/>
  <c r="C124" i="2" s="1"/>
  <c r="C125" i="2" s="1"/>
  <c r="C126" i="2" s="1"/>
  <c r="E120" i="2"/>
  <c r="E112" i="2"/>
  <c r="E111" i="2"/>
  <c r="E110" i="2"/>
  <c r="E109" i="2"/>
  <c r="E108" i="2"/>
  <c r="E107" i="2"/>
  <c r="C107" i="2"/>
  <c r="C108" i="2" s="1"/>
  <c r="C109" i="2" s="1"/>
  <c r="C110" i="2" s="1"/>
  <c r="C111" i="2" s="1"/>
  <c r="C112" i="2" s="1"/>
  <c r="E106" i="2"/>
  <c r="E98" i="2"/>
  <c r="E97" i="2"/>
  <c r="E96" i="2"/>
  <c r="E95" i="2"/>
  <c r="E94" i="2"/>
  <c r="E93" i="2"/>
  <c r="C93" i="2"/>
  <c r="C94" i="2" s="1"/>
  <c r="C95" i="2" s="1"/>
  <c r="C96" i="2" s="1"/>
  <c r="C97" i="2" s="1"/>
  <c r="C98" i="2" s="1"/>
  <c r="E92" i="2"/>
  <c r="E84" i="2"/>
  <c r="E83" i="2"/>
  <c r="E82" i="2"/>
  <c r="E81" i="2"/>
  <c r="E80" i="2"/>
  <c r="E79" i="2"/>
  <c r="C79" i="2"/>
  <c r="C80" i="2" s="1"/>
  <c r="C81" i="2" s="1"/>
  <c r="C82" i="2" s="1"/>
  <c r="C83" i="2" s="1"/>
  <c r="C84" i="2" s="1"/>
  <c r="E78" i="2"/>
  <c r="E70" i="2"/>
  <c r="E69" i="2"/>
  <c r="E68" i="2"/>
  <c r="E67" i="2"/>
  <c r="E66" i="2"/>
  <c r="E65" i="2"/>
  <c r="C65" i="2"/>
  <c r="C66" i="2" s="1"/>
  <c r="C67" i="2" s="1"/>
  <c r="C68" i="2" s="1"/>
  <c r="C69" i="2" s="1"/>
  <c r="C70" i="2" s="1"/>
  <c r="E64" i="2"/>
  <c r="E56" i="2"/>
  <c r="E55" i="2"/>
  <c r="E54" i="2"/>
  <c r="E53" i="2"/>
  <c r="E52" i="2"/>
  <c r="E51" i="2"/>
  <c r="C51" i="2"/>
  <c r="C52" i="2" s="1"/>
  <c r="C53" i="2" s="1"/>
  <c r="C54" i="2" s="1"/>
  <c r="C55" i="2" s="1"/>
  <c r="C56" i="2" s="1"/>
  <c r="E50" i="2"/>
  <c r="R41" i="2"/>
  <c r="E42" i="2"/>
  <c r="R40" i="2"/>
  <c r="E41" i="2"/>
  <c r="R39" i="2"/>
  <c r="E40" i="2"/>
  <c r="R38" i="2"/>
  <c r="E39" i="2"/>
  <c r="R37" i="2"/>
  <c r="E38" i="2"/>
  <c r="R36" i="2"/>
  <c r="P36" i="2"/>
  <c r="P37" i="2" s="1"/>
  <c r="P38" i="2" s="1"/>
  <c r="P39" i="2" s="1"/>
  <c r="P40" i="2" s="1"/>
  <c r="P41" i="2" s="1"/>
  <c r="E37" i="2"/>
  <c r="C37" i="2"/>
  <c r="C38" i="2" s="1"/>
  <c r="C39" i="2" s="1"/>
  <c r="C40" i="2" s="1"/>
  <c r="C41" i="2" s="1"/>
  <c r="C42" i="2" s="1"/>
  <c r="R35" i="2"/>
  <c r="E36" i="2"/>
  <c r="R27" i="2"/>
  <c r="E14" i="2"/>
  <c r="R26" i="2"/>
  <c r="E13" i="2"/>
  <c r="R25" i="2"/>
  <c r="E12" i="2"/>
  <c r="R24" i="2"/>
  <c r="E11" i="2"/>
  <c r="R23" i="2"/>
  <c r="E10" i="2"/>
  <c r="R22" i="2"/>
  <c r="P22" i="2"/>
  <c r="P23" i="2" s="1"/>
  <c r="P24" i="2" s="1"/>
  <c r="P25" i="2" s="1"/>
  <c r="P26" i="2" s="1"/>
  <c r="P27" i="2" s="1"/>
  <c r="E9" i="2"/>
  <c r="C9" i="2"/>
  <c r="C10" i="2" s="1"/>
  <c r="C11" i="2" s="1"/>
  <c r="C12" i="2" s="1"/>
  <c r="C13" i="2" s="1"/>
  <c r="C14" i="2" s="1"/>
  <c r="R21" i="2"/>
  <c r="E8" i="2"/>
  <c r="R13" i="2"/>
  <c r="R12" i="2"/>
  <c r="R11" i="2"/>
  <c r="R10" i="2"/>
  <c r="R9" i="2"/>
  <c r="R8" i="2"/>
  <c r="P8" i="2"/>
  <c r="P9" i="2" s="1"/>
  <c r="P10" i="2" s="1"/>
  <c r="P11" i="2" s="1"/>
  <c r="P12" i="2" s="1"/>
  <c r="P13" i="2" s="1"/>
  <c r="R7" i="2"/>
  <c r="G149" i="2" l="1"/>
  <c r="Q14" i="7"/>
  <c r="C65" i="8"/>
  <c r="R13" i="1"/>
  <c r="R14" i="7"/>
  <c r="G40" i="8"/>
  <c r="I59" i="1"/>
  <c r="I12" i="7"/>
  <c r="T12" i="7" s="1"/>
  <c r="G163" i="2"/>
  <c r="D47" i="8"/>
  <c r="T21" i="2"/>
  <c r="C61" i="8"/>
  <c r="M14" i="7"/>
  <c r="G94" i="2"/>
  <c r="M74" i="1"/>
  <c r="T9" i="2"/>
  <c r="D5" i="8" s="1"/>
  <c r="N39" i="8" s="1"/>
  <c r="D26" i="8"/>
  <c r="T23" i="2"/>
  <c r="H26" i="8"/>
  <c r="G29" i="8" s="1"/>
  <c r="C67" i="8"/>
  <c r="S14" i="7"/>
  <c r="S74" i="1"/>
  <c r="G176" i="2"/>
  <c r="I176" i="2" s="1"/>
  <c r="C60" i="8"/>
  <c r="G80" i="2"/>
  <c r="L74" i="1"/>
  <c r="L14" i="7"/>
  <c r="T13" i="7"/>
  <c r="C55" i="8"/>
  <c r="G14" i="7"/>
  <c r="N74" i="1"/>
  <c r="C62" i="8"/>
  <c r="G108" i="2"/>
  <c r="N14" i="7"/>
  <c r="K74" i="1"/>
  <c r="C59" i="8"/>
  <c r="K14" i="7"/>
  <c r="G66" i="2"/>
  <c r="I66" i="2" s="1"/>
  <c r="H14" i="7"/>
  <c r="C56" i="8"/>
  <c r="H74" i="1"/>
  <c r="G24" i="2"/>
  <c r="I24" i="2" s="1"/>
  <c r="I25" i="2" s="1"/>
  <c r="Q15" i="7"/>
  <c r="E65" i="8"/>
  <c r="F65" i="8" s="1"/>
  <c r="H48" i="8"/>
  <c r="P36" i="1"/>
  <c r="E47" i="8" s="1"/>
  <c r="G134" i="2"/>
  <c r="P14" i="7"/>
  <c r="C64" i="8"/>
  <c r="G136" i="2"/>
  <c r="R15" i="7"/>
  <c r="E66" i="8"/>
  <c r="F66" i="8" s="1"/>
  <c r="H49" i="8"/>
  <c r="I50" i="2"/>
  <c r="K50" i="2" s="1"/>
  <c r="R34" i="1"/>
  <c r="R21" i="1" l="1"/>
  <c r="G161" i="2" s="1"/>
  <c r="D49" i="8"/>
  <c r="G31" i="8"/>
  <c r="I74" i="1"/>
  <c r="C57" i="8"/>
  <c r="G38" i="2"/>
  <c r="I38" i="2" s="1"/>
  <c r="I14" i="7"/>
  <c r="T14" i="7" s="1"/>
  <c r="G28" i="8"/>
  <c r="G32" i="8"/>
  <c r="S15" i="7"/>
  <c r="E67" i="8"/>
  <c r="F67" i="8" s="1"/>
  <c r="H50" i="8"/>
  <c r="C18" i="8"/>
  <c r="C16" i="8"/>
  <c r="C19" i="8"/>
  <c r="C20" i="8"/>
  <c r="C17" i="8"/>
  <c r="I11" i="2"/>
  <c r="G11" i="2" s="1"/>
  <c r="K10" i="2"/>
  <c r="C68" i="8"/>
  <c r="T37" i="2"/>
  <c r="D4" i="8" s="1"/>
  <c r="K24" i="2"/>
  <c r="M15" i="7"/>
  <c r="E61" i="8"/>
  <c r="F61" i="8" s="1"/>
  <c r="H44" i="8"/>
  <c r="N15" i="7"/>
  <c r="E62" i="8"/>
  <c r="F62" i="8" s="1"/>
  <c r="H45" i="8"/>
  <c r="H15" i="7"/>
  <c r="E56" i="8"/>
  <c r="F56" i="8" s="1"/>
  <c r="H39" i="8"/>
  <c r="K15" i="7"/>
  <c r="E59" i="8"/>
  <c r="F59" i="8" s="1"/>
  <c r="H42" i="8"/>
  <c r="E55" i="8"/>
  <c r="F55" i="8" s="1"/>
  <c r="H38" i="8"/>
  <c r="C27" i="8"/>
  <c r="C30" i="8"/>
  <c r="C31" i="8"/>
  <c r="C32" i="8"/>
  <c r="C29" i="8"/>
  <c r="C28" i="8"/>
  <c r="I67" i="2"/>
  <c r="I68" i="2" s="1"/>
  <c r="I69" i="2" s="1"/>
  <c r="K66" i="2"/>
  <c r="G27" i="8"/>
  <c r="G30" i="8"/>
  <c r="K176" i="2"/>
  <c r="I177" i="2"/>
  <c r="T34" i="1"/>
  <c r="C49" i="8"/>
  <c r="C51" i="8" s="1"/>
  <c r="L15" i="7"/>
  <c r="E60" i="8"/>
  <c r="F60" i="8" s="1"/>
  <c r="H43" i="8"/>
  <c r="V23" i="2"/>
  <c r="D6" i="8"/>
  <c r="N40" i="8" s="1"/>
  <c r="H36" i="2"/>
  <c r="R35" i="1"/>
  <c r="T35" i="1" l="1"/>
  <c r="K38" i="2"/>
  <c r="I39" i="2"/>
  <c r="I15" i="7"/>
  <c r="E57" i="8"/>
  <c r="F57" i="8" s="1"/>
  <c r="H40" i="8"/>
  <c r="G26" i="8"/>
  <c r="U21" i="2"/>
  <c r="V21" i="2" s="1"/>
  <c r="I70" i="2"/>
  <c r="K16" i="7" s="1"/>
  <c r="R36" i="1"/>
  <c r="E49" i="8" s="1"/>
  <c r="C26" i="8"/>
  <c r="K11" i="2"/>
  <c r="I12" i="2"/>
  <c r="I13" i="2" s="1"/>
  <c r="I26" i="2"/>
  <c r="K25" i="2"/>
  <c r="G25" i="2"/>
  <c r="C6" i="8"/>
  <c r="V24" i="2"/>
  <c r="X23" i="2"/>
  <c r="I178" i="2"/>
  <c r="G177" i="2"/>
  <c r="C14" i="8"/>
  <c r="G67" i="2"/>
  <c r="K67" i="2"/>
  <c r="H161" i="2"/>
  <c r="U35" i="2" l="1"/>
  <c r="X21" i="2"/>
  <c r="G39" i="2"/>
  <c r="I40" i="2"/>
  <c r="K39" i="2"/>
  <c r="I161" i="2"/>
  <c r="K161" i="2" s="1"/>
  <c r="T24" i="2"/>
  <c r="X24" i="2"/>
  <c r="V25" i="2"/>
  <c r="I27" i="2"/>
  <c r="K26" i="2"/>
  <c r="G26" i="2"/>
  <c r="G12" i="2"/>
  <c r="K12" i="2"/>
  <c r="D72" i="8"/>
  <c r="F6" i="8"/>
  <c r="I179" i="2"/>
  <c r="G178" i="2"/>
  <c r="G68" i="2"/>
  <c r="K68" i="2"/>
  <c r="K40" i="2" l="1"/>
  <c r="G40" i="2"/>
  <c r="I41" i="2"/>
  <c r="I180" i="2"/>
  <c r="G179" i="2"/>
  <c r="I28" i="2"/>
  <c r="H16" i="7" s="1"/>
  <c r="G27" i="2"/>
  <c r="K27" i="2"/>
  <c r="T25" i="2"/>
  <c r="V26" i="2"/>
  <c r="X25" i="2"/>
  <c r="K13" i="2"/>
  <c r="G13" i="2"/>
  <c r="I14" i="2"/>
  <c r="G16" i="7" s="1"/>
  <c r="G69" i="2"/>
  <c r="K69" i="2"/>
  <c r="G17" i="7" l="1"/>
  <c r="T16" i="7"/>
  <c r="G180" i="2"/>
  <c r="S16" i="7"/>
  <c r="K41" i="2"/>
  <c r="I42" i="2"/>
  <c r="I16" i="7" s="1"/>
  <c r="G41" i="2"/>
  <c r="G14" i="2"/>
  <c r="K14" i="2"/>
  <c r="G28" i="2"/>
  <c r="K28" i="2"/>
  <c r="T26" i="2"/>
  <c r="V27" i="2"/>
  <c r="X26" i="2"/>
  <c r="G70" i="2"/>
  <c r="K70" i="2"/>
  <c r="I80" i="2"/>
  <c r="I94" i="2"/>
  <c r="I108" i="2"/>
  <c r="G42" i="2" l="1"/>
  <c r="K42" i="2"/>
  <c r="T27" i="2"/>
  <c r="X27" i="2"/>
  <c r="I95" i="2"/>
  <c r="K94" i="2"/>
  <c r="I81" i="2"/>
  <c r="K80" i="2"/>
  <c r="K108" i="2"/>
  <c r="I109" i="2"/>
  <c r="I134" i="2"/>
  <c r="K134" i="2" s="1"/>
  <c r="I82" i="2" l="1"/>
  <c r="G81" i="2"/>
  <c r="K81" i="2"/>
  <c r="I96" i="2"/>
  <c r="K95" i="2"/>
  <c r="G95" i="2"/>
  <c r="I110" i="2"/>
  <c r="G109" i="2"/>
  <c r="K109" i="2"/>
  <c r="I122" i="2"/>
  <c r="K122" i="2" s="1"/>
  <c r="I97" i="2" l="1"/>
  <c r="K96" i="2"/>
  <c r="G96" i="2"/>
  <c r="I83" i="2"/>
  <c r="G82" i="2"/>
  <c r="I111" i="2"/>
  <c r="G110" i="2"/>
  <c r="I149" i="2"/>
  <c r="I84" i="2" l="1"/>
  <c r="G83" i="2"/>
  <c r="I98" i="2"/>
  <c r="M16" i="7" s="1"/>
  <c r="G97" i="2"/>
  <c r="K97" i="2"/>
  <c r="I112" i="2"/>
  <c r="G111" i="2"/>
  <c r="I150" i="2"/>
  <c r="G150" i="2" s="1"/>
  <c r="K149" i="2"/>
  <c r="I163" i="2"/>
  <c r="G112" i="2" l="1"/>
  <c r="N16" i="7"/>
  <c r="G84" i="2"/>
  <c r="L16" i="7"/>
  <c r="K98" i="2"/>
  <c r="G98" i="2"/>
  <c r="I151" i="2"/>
  <c r="G151" i="2" s="1"/>
  <c r="K150" i="2"/>
  <c r="K163" i="2"/>
  <c r="I164" i="2"/>
  <c r="G164" i="2" s="1"/>
  <c r="I152" i="2" l="1"/>
  <c r="K151" i="2"/>
  <c r="I165" i="2"/>
  <c r="G165" i="2" s="1"/>
  <c r="I153" i="2" l="1"/>
  <c r="Q16" i="7" s="1"/>
  <c r="G152" i="2"/>
  <c r="K152" i="2"/>
  <c r="I166" i="2"/>
  <c r="G166" i="2" l="1"/>
  <c r="G153" i="2"/>
  <c r="K153" i="2"/>
  <c r="I167" i="2"/>
  <c r="G167" i="2" l="1"/>
  <c r="R16" i="7"/>
  <c r="I123" i="2"/>
  <c r="K123" i="2" s="1"/>
  <c r="K84" i="2" l="1"/>
  <c r="K112" i="2"/>
  <c r="K83" i="2"/>
  <c r="K82" i="2" l="1"/>
  <c r="I126" i="2"/>
  <c r="K126" i="2" l="1"/>
  <c r="O16" i="7"/>
  <c r="K111" i="2"/>
  <c r="I125" i="2"/>
  <c r="K125" i="2" l="1"/>
  <c r="K110" i="2"/>
  <c r="I124" i="2" l="1"/>
  <c r="K124" i="2" s="1"/>
  <c r="K164" i="2" l="1"/>
  <c r="K165" i="2"/>
  <c r="K167" i="2"/>
  <c r="K166" i="2"/>
  <c r="K177" i="2"/>
  <c r="K179" i="2" l="1"/>
  <c r="K180" i="2"/>
  <c r="K178" i="2"/>
  <c r="G51" i="8"/>
  <c r="P73" i="1"/>
  <c r="H136" i="2"/>
  <c r="I136" i="2" s="1"/>
  <c r="P8" i="7"/>
  <c r="T8" i="7" s="1"/>
  <c r="T66" i="1"/>
  <c r="H14" i="8" l="1"/>
  <c r="G16" i="8" s="1"/>
  <c r="P74" i="1"/>
  <c r="E64" i="8" s="1"/>
  <c r="D64" i="8"/>
  <c r="F14" i="8"/>
  <c r="P10" i="7"/>
  <c r="T10" i="7" s="1"/>
  <c r="I23" i="7" s="1"/>
  <c r="T73" i="1"/>
  <c r="H137" i="2"/>
  <c r="H138" i="2" s="1"/>
  <c r="H139" i="2" s="1"/>
  <c r="H140" i="2" s="1"/>
  <c r="I137" i="2"/>
  <c r="K136" i="2"/>
  <c r="G20" i="8"/>
  <c r="G19" i="8"/>
  <c r="G17" i="8"/>
  <c r="U9" i="2"/>
  <c r="G18" i="8" l="1"/>
  <c r="G15" i="8"/>
  <c r="P15" i="7"/>
  <c r="T15" i="7" s="1"/>
  <c r="H47" i="8"/>
  <c r="T74" i="1"/>
  <c r="E68" i="8" s="1"/>
  <c r="F64" i="8"/>
  <c r="U37" i="2"/>
  <c r="U38" i="2" s="1"/>
  <c r="U39" i="2" s="1"/>
  <c r="U40" i="2" s="1"/>
  <c r="U41" i="2" s="1"/>
  <c r="D68" i="8"/>
  <c r="F68" i="8" s="1"/>
  <c r="E17" i="8"/>
  <c r="E18" i="8"/>
  <c r="E20" i="8"/>
  <c r="E19" i="8"/>
  <c r="E16" i="8"/>
  <c r="E15" i="8"/>
  <c r="G14" i="8"/>
  <c r="E5" i="8"/>
  <c r="O39" i="8" s="1"/>
  <c r="V9" i="2"/>
  <c r="U10" i="2"/>
  <c r="G137" i="2"/>
  <c r="I138" i="2"/>
  <c r="K137" i="2"/>
  <c r="E4" i="8" l="1"/>
  <c r="V37" i="2"/>
  <c r="V38" i="2" s="1"/>
  <c r="V39" i="2" s="1"/>
  <c r="X39" i="2" s="1"/>
  <c r="E14" i="8"/>
  <c r="I139" i="2"/>
  <c r="G138" i="2"/>
  <c r="K138" i="2"/>
  <c r="U11" i="2"/>
  <c r="V10" i="2"/>
  <c r="X10" i="2" s="1"/>
  <c r="C5" i="8"/>
  <c r="X9" i="2"/>
  <c r="X37" i="2" l="1"/>
  <c r="C4" i="8"/>
  <c r="D74" i="8" s="1"/>
  <c r="X38" i="2"/>
  <c r="T38" i="2"/>
  <c r="D73" i="8"/>
  <c r="F5" i="8"/>
  <c r="T39" i="2"/>
  <c r="V40" i="2"/>
  <c r="U12" i="2"/>
  <c r="V11" i="2"/>
  <c r="T10" i="2"/>
  <c r="I140" i="2"/>
  <c r="P16" i="7" s="1"/>
  <c r="I25" i="7"/>
  <c r="G139" i="2"/>
  <c r="K139" i="2"/>
  <c r="F4" i="8" l="1"/>
  <c r="V12" i="2"/>
  <c r="X12" i="2" s="1"/>
  <c r="T11" i="2"/>
  <c r="V41" i="2"/>
  <c r="T40" i="2"/>
  <c r="U13" i="2"/>
  <c r="G25" i="7"/>
  <c r="X11" i="2"/>
  <c r="I24" i="7"/>
  <c r="X40" i="2"/>
  <c r="G140" i="2"/>
  <c r="K140" i="2"/>
  <c r="T41" i="2" l="1"/>
  <c r="V46" i="2"/>
  <c r="X41" i="2"/>
  <c r="T12" i="2"/>
  <c r="V13" i="2"/>
  <c r="T13" i="2" s="1"/>
  <c r="X13" i="2" l="1"/>
  <c r="G8" i="1"/>
  <c r="H8" i="1"/>
  <c r="I8" i="1"/>
  <c r="I12" i="1" s="1"/>
  <c r="K8" i="1"/>
  <c r="K12" i="1" s="1"/>
  <c r="L8" i="1"/>
  <c r="L12" i="1" s="1"/>
  <c r="M8" i="1"/>
  <c r="N8" i="1"/>
  <c r="Q8" i="1"/>
  <c r="Q12" i="1" s="1"/>
  <c r="S8" i="1"/>
  <c r="S12" i="1" l="1"/>
  <c r="S13" i="1" s="1"/>
  <c r="G12" i="1"/>
  <c r="I13" i="1"/>
  <c r="N12" i="1"/>
  <c r="N13" i="1" s="1"/>
  <c r="T8" i="1"/>
  <c r="M12" i="1"/>
  <c r="M13" i="1" s="1"/>
  <c r="H12" i="1"/>
  <c r="H13" i="1" s="1"/>
  <c r="H21" i="1" s="1"/>
  <c r="L13" i="1"/>
  <c r="L21" i="1" s="1"/>
  <c r="Q13" i="1"/>
  <c r="K13" i="1"/>
  <c r="D44" i="8" l="1"/>
  <c r="M21" i="1"/>
  <c r="H36" i="1"/>
  <c r="E39" i="8" s="1"/>
  <c r="G22" i="2"/>
  <c r="I22" i="2" s="1"/>
  <c r="K22" i="2" s="1"/>
  <c r="N21" i="1"/>
  <c r="D45" i="8"/>
  <c r="S21" i="1"/>
  <c r="D50" i="8"/>
  <c r="Q21" i="1"/>
  <c r="D48" i="8"/>
  <c r="I21" i="1"/>
  <c r="D40" i="8"/>
  <c r="L36" i="1"/>
  <c r="E43" i="8" s="1"/>
  <c r="G78" i="2"/>
  <c r="I78" i="2" s="1"/>
  <c r="K78" i="2" s="1"/>
  <c r="K21" i="1"/>
  <c r="D42" i="8"/>
  <c r="T12" i="1"/>
  <c r="G13" i="1"/>
  <c r="G21" i="1" l="1"/>
  <c r="T13" i="1"/>
  <c r="D38" i="8"/>
  <c r="G36" i="2"/>
  <c r="I36" i="2" s="1"/>
  <c r="K36" i="2" s="1"/>
  <c r="I36" i="1"/>
  <c r="E40" i="8" s="1"/>
  <c r="G64" i="2"/>
  <c r="I64" i="2" s="1"/>
  <c r="K64" i="2" s="1"/>
  <c r="K36" i="1"/>
  <c r="E42" i="8" s="1"/>
  <c r="M36" i="1"/>
  <c r="E44" i="8" s="1"/>
  <c r="G92" i="2"/>
  <c r="I92" i="2" s="1"/>
  <c r="K92" i="2" s="1"/>
  <c r="G174" i="2"/>
  <c r="I174" i="2" s="1"/>
  <c r="K174" i="2" s="1"/>
  <c r="S36" i="1"/>
  <c r="E50" i="8" s="1"/>
  <c r="G106" i="2"/>
  <c r="I106" i="2" s="1"/>
  <c r="K106" i="2" s="1"/>
  <c r="N36" i="1"/>
  <c r="E45" i="8" s="1"/>
  <c r="Q36" i="1"/>
  <c r="E48" i="8" s="1"/>
  <c r="G147" i="2"/>
  <c r="I147" i="2" s="1"/>
  <c r="K147" i="2" s="1"/>
  <c r="T7" i="2" l="1"/>
  <c r="V7" i="2" s="1"/>
  <c r="X7" i="2" s="1"/>
  <c r="G8" i="2"/>
  <c r="I8" i="2" s="1"/>
  <c r="K8" i="2" s="1"/>
  <c r="T21" i="1"/>
  <c r="G36" i="1"/>
  <c r="E38" i="8" s="1"/>
  <c r="T35" i="2" l="1"/>
  <c r="V35" i="2" s="1"/>
  <c r="X35" i="2" s="1"/>
  <c r="T36" i="1"/>
</calcChain>
</file>

<file path=xl/comments1.xml><?xml version="1.0" encoding="utf-8"?>
<comments xmlns="http://schemas.openxmlformats.org/spreadsheetml/2006/main">
  <authors>
    <author>Abraham, Reka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Gilroy provided organic diversion tonnage as a total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Los Altos did not have commercial organics diversion in 2019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Los Altos Hills collects garbage and yard waste as one and seperates out the organics. They reported 723.7
 tons sent to landfill in 2019. Organics diverted were reported as a total. Residential waste only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San Jose collects garbage and organics together and separates out the organics. 
Reported 77% diversion for the MRF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This number is residue from collected garbage + residue from yard trimmings</t>
        </r>
      </text>
    </comment>
    <comment ref="J13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Greenwaste MRF had a 77% diversion rate in 2019</t>
        </r>
      </text>
    </comment>
    <comment ref="O13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San Jose reported the MRF as having a 77% diversion rate for residential waste</t>
        </r>
      </text>
    </comment>
    <comment ref="O20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San Jose reported 94% organics diversion rate
</t>
        </r>
      </text>
    </comment>
    <comment ref="O27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Yard trimmings collected minus yard trimming residue tons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Gilroy provided organic diversion tonnage as a total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Los Altos Hills collects garbage and yard waste as one and seperates out the organics. They reported 2253 tons sent to landfill in 2021. Organics diverted were reported as a total. Residential waste only
According to the Town, the mixed MRF diverted 77%.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San Jose collects garbage and organics together and separates out the organics. Reported 70% diversion rate for the residential MRF. 
The wet MRF was 94%. Here are the calculations city staff used: 74,964.65 (total tonnage of WET material collected - 23,320.31 (total tonnage of direct hauled to ZWED) = 51,644.34 (tonnage processed through Republic WET MRF line); 48,605.74 (tonnage of pre-processed organics sent to ZWED) / 51,644.34 = 94%. </t>
        </r>
      </text>
    </comment>
    <comment ref="J43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Sum of Q1-4 tons sent to landfill</t>
        </r>
      </text>
    </comment>
    <comment ref="O43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This number is residue from collected garbage + residue from yard trimmings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Greenwaste MRF had a 70% diversion rate in 2021
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San Jose reported GreenWaste as having a 70% diversion rate for residential waste</t>
        </r>
      </text>
    </comment>
    <comment ref="O56" authorId="0" shapeId="0">
      <text>
        <r>
          <rPr>
            <b/>
            <sz val="9"/>
            <color indexed="81"/>
            <rFont val="Tahoma"/>
            <family val="2"/>
          </rPr>
          <t>Abraham, Reka:</t>
        </r>
        <r>
          <rPr>
            <sz val="9"/>
            <color indexed="81"/>
            <rFont val="Tahoma"/>
            <family val="2"/>
          </rPr>
          <t xml:space="preserve">
All commercial sent to ZWED. Diversion at ZWED is 28%</t>
        </r>
      </text>
    </comment>
    <comment ref="J63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Sum of all compostable tonnages for Q1-4</t>
        </r>
      </text>
    </comment>
    <comment ref="O64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Yard trimmings collected minus yard trimming residue tons</t>
        </r>
      </text>
    </comment>
  </commentList>
</comments>
</file>

<file path=xl/comments2.xml><?xml version="1.0" encoding="utf-8"?>
<comments xmlns="http://schemas.openxmlformats.org/spreadsheetml/2006/main">
  <authors>
    <author>Abraham, Reka</author>
    <author>Purington, Elizabeth</author>
  </authors>
  <commentList>
    <comment ref="J6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Los Altos Hills collects garbage and yard waste as one and seperates out the organics. Residential only</t>
        </r>
      </text>
    </comment>
    <comment ref="O6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San Jose collects garbage and organics together and separates out the organics. 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Data was provided as a total for residential and commercial
</t>
        </r>
      </text>
    </comment>
    <comment ref="L10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Data was provided as a total for residential and commercial
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Purington, Elizabeth:</t>
        </r>
        <r>
          <rPr>
            <sz val="9"/>
            <color indexed="81"/>
            <rFont val="Tahoma"/>
            <family val="2"/>
          </rPr>
          <t xml:space="preserve">
Is this showing to divert 100% of organics? Not the 75% in the previous tab? I think planning for 100% is required, it just feels like the numbers don't quite match up then (diverting 75% but needing space for 100%)</t>
        </r>
      </text>
    </comment>
  </commentList>
</comments>
</file>

<file path=xl/comments3.xml><?xml version="1.0" encoding="utf-8"?>
<comments xmlns="http://schemas.openxmlformats.org/spreadsheetml/2006/main">
  <authors>
    <author>Abraham, Reka</author>
  </authors>
  <commentList>
    <comment ref="B81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Tonnages were provided as totals - no residential vs commercial breakdown</t>
        </r>
      </text>
    </comment>
    <comment ref="B82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No Commercial organics diversion in 2019</t>
        </r>
      </text>
    </comment>
    <comment ref="B83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Only residential collection
</t>
        </r>
      </text>
    </comment>
    <comment ref="B85" authorId="0" shapeId="0">
      <text>
        <r>
          <rPr>
            <b/>
            <sz val="9"/>
            <color indexed="81"/>
            <rFont val="Tahoma"/>
            <charset val="1"/>
          </rPr>
          <t>Abraham, Reka:</t>
        </r>
        <r>
          <rPr>
            <sz val="9"/>
            <color indexed="81"/>
            <rFont val="Tahoma"/>
            <charset val="1"/>
          </rPr>
          <t xml:space="preserve">
Tonnages were provided as totals - no residential vs commercial breakdown</t>
        </r>
      </text>
    </comment>
  </commentList>
</comments>
</file>

<file path=xl/sharedStrings.xml><?xml version="1.0" encoding="utf-8"?>
<sst xmlns="http://schemas.openxmlformats.org/spreadsheetml/2006/main" count="1255" uniqueCount="268">
  <si>
    <t xml:space="preserve">Material </t>
  </si>
  <si>
    <t>Jurisdiction</t>
  </si>
  <si>
    <t>Commercial</t>
  </si>
  <si>
    <t>Food</t>
  </si>
  <si>
    <t>Subtotal Separated Organics</t>
  </si>
  <si>
    <t>Total</t>
  </si>
  <si>
    <t>Yard Waste</t>
  </si>
  <si>
    <t>Compostable Paper</t>
  </si>
  <si>
    <t>Clean Wood</t>
  </si>
  <si>
    <t>Potentially Compostable</t>
  </si>
  <si>
    <t>Organics Projections by Jurisdiction</t>
  </si>
  <si>
    <t>Organics Projections by Sector</t>
  </si>
  <si>
    <t>Organics in Disposed Waste - RESIDENTIAL</t>
  </si>
  <si>
    <t>Year</t>
  </si>
  <si>
    <t>Monterey County Population</t>
  </si>
  <si>
    <t>Population Growth*</t>
  </si>
  <si>
    <t>Organics in Trash    (Tons)</t>
  </si>
  <si>
    <t>Organics Diverted (Tons)</t>
  </si>
  <si>
    <t>Organics Generated (Tons)</t>
  </si>
  <si>
    <t xml:space="preserve">Proportion Organics Diverted </t>
  </si>
  <si>
    <t>*  Population growth estimates from State of California Department of Finance</t>
  </si>
  <si>
    <t>Organics in Disposed Waste - COMMERCIAL</t>
  </si>
  <si>
    <t>Campbell</t>
  </si>
  <si>
    <t>Cupertino</t>
  </si>
  <si>
    <t>Morgan Hill</t>
  </si>
  <si>
    <t>Los Altos</t>
  </si>
  <si>
    <t>Los Altos Hill</t>
  </si>
  <si>
    <t>Los Gatos</t>
  </si>
  <si>
    <t>Milpitas</t>
  </si>
  <si>
    <t>Montesereno</t>
  </si>
  <si>
    <t>Mountain View</t>
  </si>
  <si>
    <t>Palo Alto</t>
  </si>
  <si>
    <t>San Jose</t>
  </si>
  <si>
    <t>Santa Clara</t>
  </si>
  <si>
    <t>Saratoga</t>
  </si>
  <si>
    <t>Sunnyvale</t>
  </si>
  <si>
    <t xml:space="preserve">Cupertino (tons)  </t>
  </si>
  <si>
    <t xml:space="preserve">Los Altos (tons) </t>
  </si>
  <si>
    <t xml:space="preserve">Los Altos Hill (tons) </t>
  </si>
  <si>
    <t xml:space="preserve">Unincorp. (tons) </t>
  </si>
  <si>
    <t>Unincorporated</t>
  </si>
  <si>
    <t>Milpitas (tons)</t>
  </si>
  <si>
    <t>Morgan Hill (tons)</t>
  </si>
  <si>
    <t>Mountain View (tons)</t>
  </si>
  <si>
    <t>Palo Alto (tons)</t>
  </si>
  <si>
    <t>San Jose (tons)</t>
  </si>
  <si>
    <t>Santa Clara (tons)</t>
  </si>
  <si>
    <t>Sunnyvale (tons)</t>
  </si>
  <si>
    <t xml:space="preserve">Total </t>
  </si>
  <si>
    <r>
      <t xml:space="preserve">CALRECYCLE 2018 STUDY - </t>
    </r>
    <r>
      <rPr>
        <b/>
        <sz val="12"/>
        <color theme="4" tint="0.39997558519241921"/>
        <rFont val="Century Gothic"/>
        <family val="2"/>
      </rPr>
      <t>OVERALL</t>
    </r>
    <r>
      <rPr>
        <b/>
        <sz val="12"/>
        <color theme="1"/>
        <rFont val="Century Gothic"/>
        <family val="2"/>
      </rPr>
      <t xml:space="preserve"> DISPOSED WASTE STREAM</t>
    </r>
  </si>
  <si>
    <r>
      <t xml:space="preserve">CALRECYCLE 2018 STUDY - </t>
    </r>
    <r>
      <rPr>
        <b/>
        <sz val="12"/>
        <color theme="4" tint="0.39997558519241921"/>
        <rFont val="Century Gothic"/>
        <family val="2"/>
      </rPr>
      <t>RESIDENTIAL</t>
    </r>
    <r>
      <rPr>
        <b/>
        <sz val="12"/>
        <color theme="1"/>
        <rFont val="Century Gothic"/>
        <family val="2"/>
      </rPr>
      <t xml:space="preserve"> DISPOSED WASTE STREAM</t>
    </r>
  </si>
  <si>
    <r>
      <t xml:space="preserve">CALRECYCLE 2018 STUDY - </t>
    </r>
    <r>
      <rPr>
        <b/>
        <sz val="12"/>
        <color theme="4" tint="0.39997558519241921"/>
        <rFont val="Century Gothic"/>
        <family val="2"/>
      </rPr>
      <t>COMMERCIAL</t>
    </r>
    <r>
      <rPr>
        <b/>
        <sz val="12"/>
        <color theme="1"/>
        <rFont val="Century Gothic"/>
        <family val="2"/>
      </rPr>
      <t xml:space="preserve"> DISPOSED WASTE STREAM</t>
    </r>
  </si>
  <si>
    <r>
      <t xml:space="preserve">Est Using </t>
    </r>
    <r>
      <rPr>
        <b/>
        <sz val="11"/>
        <color theme="4" tint="0.39997558519241921"/>
        <rFont val="Century Gothic"/>
        <family val="2"/>
      </rPr>
      <t>2014</t>
    </r>
    <r>
      <rPr>
        <b/>
        <sz val="11"/>
        <color theme="1"/>
        <rFont val="Century Gothic"/>
        <family val="2"/>
      </rPr>
      <t xml:space="preserve"> Sector Percentages</t>
    </r>
  </si>
  <si>
    <t>SB1383 Related</t>
  </si>
  <si>
    <t>Material</t>
  </si>
  <si>
    <t>Estimated Percent</t>
  </si>
  <si>
    <t>+/-</t>
  </si>
  <si>
    <t>Estimated Tons</t>
  </si>
  <si>
    <t>Paper</t>
  </si>
  <si>
    <t>Uncoated Corrugated Cardboard</t>
  </si>
  <si>
    <t>Paper Grocery Bags</t>
  </si>
  <si>
    <t>Other Paper Bags/Kraft Paper</t>
  </si>
  <si>
    <t>Newspapers/Newspaper Inserts</t>
  </si>
  <si>
    <t>White Office-type Paper and Mail</t>
  </si>
  <si>
    <t>Magazines and Catalogs</t>
  </si>
  <si>
    <t>Folding Cartons and Other Paperboard Packaging</t>
  </si>
  <si>
    <t>Other Recyclable Paper</t>
  </si>
  <si>
    <t>Miscellaneous Paper Packaging</t>
  </si>
  <si>
    <t>Aseptic Containers</t>
  </si>
  <si>
    <t>Gable-top Cartons</t>
  </si>
  <si>
    <t>Compostable Paper - Packaging</t>
  </si>
  <si>
    <t>Compostable Paper - Non-packaging</t>
  </si>
  <si>
    <t>Remainder/Composite Paper</t>
  </si>
  <si>
    <t>Glass</t>
  </si>
  <si>
    <t>Clear Glass Bottles and Containers - CRV</t>
  </si>
  <si>
    <t>Clear Glass Bottles and Containers - Non-CRV</t>
  </si>
  <si>
    <t>Green Glass Bottles and Containers - CRV</t>
  </si>
  <si>
    <t>Green Glass Bottles and Containers - Non-CRV</t>
  </si>
  <si>
    <t>Brown Glass Bottles and Containers - CRV</t>
  </si>
  <si>
    <t>Brown Glass Bottles and Containers - Non-CRV</t>
  </si>
  <si>
    <t>Other Colored Glass Bottles and Containers</t>
  </si>
  <si>
    <t>Remainder/Composite Glass</t>
  </si>
  <si>
    <t>Metal</t>
  </si>
  <si>
    <t>Remainder/Composite Metal</t>
  </si>
  <si>
    <t>Other Ferrous</t>
  </si>
  <si>
    <t>Aluminum Cans - CRV</t>
  </si>
  <si>
    <t>Tin/Steel Cans</t>
  </si>
  <si>
    <t>Major Appliances (encased in metal)</t>
  </si>
  <si>
    <t>Aluminum Cans - Non-CRV</t>
  </si>
  <si>
    <t>Other Non-Ferrous</t>
  </si>
  <si>
    <t>Plastic</t>
  </si>
  <si>
    <t>PETE Beverage Containers - CRV</t>
  </si>
  <si>
    <t>PETE Bottles and Jars - Non-CRV</t>
  </si>
  <si>
    <t>PETE Containers, Lids, and other Packaging</t>
  </si>
  <si>
    <t>HDPE Beverage Containers - CRV</t>
  </si>
  <si>
    <t>HDPE Bottles and Jars - Non-CRV</t>
  </si>
  <si>
    <t>HDPE Containers, Lids, and other Packaging</t>
  </si>
  <si>
    <t>Polypropylene Containers and Packaging</t>
  </si>
  <si>
    <t>Other Plastic Containers and Packaging</t>
  </si>
  <si>
    <t>Expanded Polystyrene Packaging</t>
  </si>
  <si>
    <t>Plastic Trash Bags</t>
  </si>
  <si>
    <t>Plastic Grocery and Other Merchandise Bags</t>
  </si>
  <si>
    <t>Non-Bag Commercial and Industrial Packaging Film</t>
  </si>
  <si>
    <t>Film Products</t>
  </si>
  <si>
    <t>Flexible Plastic Pouches</t>
  </si>
  <si>
    <t>Other Film</t>
  </si>
  <si>
    <t>Durable Plastic Items</t>
  </si>
  <si>
    <t>Remainder/Composite Plastic</t>
  </si>
  <si>
    <t>Electronics</t>
  </si>
  <si>
    <t>Large Equipment (not including large appliances)</t>
  </si>
  <si>
    <t xml:space="preserve">Consumer Electronics and Small Equipment </t>
  </si>
  <si>
    <t xml:space="preserve">Covered Video Display Devices </t>
  </si>
  <si>
    <t>Organic</t>
  </si>
  <si>
    <t>Food - Potentially Donatable - Vegetative</t>
  </si>
  <si>
    <t>Food - Potentially Donatable - Eggs, Dairy, and Dairy Alternatives</t>
  </si>
  <si>
    <t>Food  - Potentially Donatable - Animal Meat</t>
  </si>
  <si>
    <t>Food  - Potentially Donatable - Cooked/Baked/Prepared Perishable Items</t>
  </si>
  <si>
    <t>Food  - Potentially Donatable - Packaged Non-perishable</t>
  </si>
  <si>
    <t>Food  - Not Donatable – Meat</t>
  </si>
  <si>
    <t>Food - Not Donatable – Non-meat</t>
  </si>
  <si>
    <t>Food - Inedible</t>
  </si>
  <si>
    <t>Leaves and Grass</t>
  </si>
  <si>
    <t>Prunings and Trimmings</t>
  </si>
  <si>
    <t>Branches and Stumps</t>
  </si>
  <si>
    <t>Manures</t>
  </si>
  <si>
    <t>Wood Waste - Clean Dimensional Lumber</t>
  </si>
  <si>
    <t>Wood Waste - Clean Engineered</t>
  </si>
  <si>
    <t>Wood Waste - Clean Pallets &amp; Crates</t>
  </si>
  <si>
    <t>Wood Waste - Treated/Painted/Stained</t>
  </si>
  <si>
    <t xml:space="preserve">Other Recyclable Wood </t>
  </si>
  <si>
    <t>Remainder/Composite Organic - Compostable</t>
  </si>
  <si>
    <t>Inerts and Other</t>
  </si>
  <si>
    <t>Concrete</t>
  </si>
  <si>
    <t>Asphalt Paving</t>
  </si>
  <si>
    <t>Asphalt Roofing</t>
  </si>
  <si>
    <t>Gypsum Board</t>
  </si>
  <si>
    <t>Carpet</t>
  </si>
  <si>
    <t>Rock, Soil and Fines</t>
  </si>
  <si>
    <t>Remainder/Composite Inerts and Other</t>
  </si>
  <si>
    <t>Household Hazardous Waste (HHW)</t>
  </si>
  <si>
    <t>Paint</t>
  </si>
  <si>
    <t>Used Oil</t>
  </si>
  <si>
    <t>Lead-Acid (Automotive) Batteries</t>
  </si>
  <si>
    <t>Other Batteries</t>
  </si>
  <si>
    <t>One-Pound Propane Gas Cylinders</t>
  </si>
  <si>
    <t>Pharmaceuticals</t>
  </si>
  <si>
    <t>Remainder/Composite Household Hazardous</t>
  </si>
  <si>
    <t>Special Waste</t>
  </si>
  <si>
    <t>Tires</t>
  </si>
  <si>
    <t>Bulky Items</t>
  </si>
  <si>
    <t>Mattresses and Foundations</t>
  </si>
  <si>
    <t>Remainder/Composite Special Waste</t>
  </si>
  <si>
    <t>Miscellaneous</t>
  </si>
  <si>
    <t>Textiles – Organic</t>
  </si>
  <si>
    <t>Textiles – Synthetic, Mixed, Unknown</t>
  </si>
  <si>
    <t>Textiles - Shoes, Purses Belts</t>
  </si>
  <si>
    <t>Solar Panels</t>
  </si>
  <si>
    <t>Diapers and Sanitary Products</t>
  </si>
  <si>
    <t>Remainder/Composite Organic - Non-Compostable</t>
  </si>
  <si>
    <t>Mixed Residue</t>
  </si>
  <si>
    <t>MRF Residual Fines</t>
  </si>
  <si>
    <t>Miscellaneous Inorganics</t>
  </si>
  <si>
    <t>Sample Count</t>
  </si>
  <si>
    <t>Jurisdictions</t>
  </si>
  <si>
    <t>Annual Waste Generated by Jurisdiction in 2019</t>
  </si>
  <si>
    <t>Annual Waste Generated by Jurisdiction in 2021</t>
  </si>
  <si>
    <t xml:space="preserve">Residential </t>
  </si>
  <si>
    <t xml:space="preserve">Food </t>
  </si>
  <si>
    <t>Subtotal Residential</t>
  </si>
  <si>
    <t>Organics in Disposed Waste - Total</t>
  </si>
  <si>
    <t>Organics in Trash (Tons)</t>
  </si>
  <si>
    <t>Subtotal Waste</t>
  </si>
  <si>
    <t>Total Residential</t>
  </si>
  <si>
    <t>Total Commercial</t>
  </si>
  <si>
    <t>Subtotal Res. - Organics in Trash</t>
  </si>
  <si>
    <t>Subtotal Com. - Organics in Trash</t>
  </si>
  <si>
    <t xml:space="preserve">Subtotal Commercial </t>
  </si>
  <si>
    <t>Food total</t>
  </si>
  <si>
    <t>SB 1383 Organics Total</t>
  </si>
  <si>
    <t>Population</t>
  </si>
  <si>
    <t>% Change</t>
  </si>
  <si>
    <t>Estimated and Projected Population for Santa Clara County: July 1,2010 to 2060</t>
  </si>
  <si>
    <t>Projections | Department of Finance (ca.gov)</t>
  </si>
  <si>
    <t>Current Organics Diversion and Projected Capacity Needed</t>
  </si>
  <si>
    <t>Organic Material</t>
  </si>
  <si>
    <t>Unincorp.</t>
  </si>
  <si>
    <t>Residential</t>
  </si>
  <si>
    <t>Current Organics Diverted</t>
  </si>
  <si>
    <t>Subtotal Organics in Waste</t>
  </si>
  <si>
    <t>Organics Generation - Unincorporated</t>
  </si>
  <si>
    <t>Organics Generation - Cupertino</t>
  </si>
  <si>
    <t>Organics Generation - Los Altos</t>
  </si>
  <si>
    <t>Organics Generation - Los Altos Hill</t>
  </si>
  <si>
    <t>Organics Generation - Milpitas</t>
  </si>
  <si>
    <t>Organics  Generation - Morgan Hill</t>
  </si>
  <si>
    <t>Organics Generation - Mountain View</t>
  </si>
  <si>
    <t>Organics Generation - Palo Alto</t>
  </si>
  <si>
    <t>Organics Generation - San Jose</t>
  </si>
  <si>
    <t>Organics Generation - Santa Clara</t>
  </si>
  <si>
    <t>Organics Generation - Sunnyvale</t>
  </si>
  <si>
    <t>West Valley Cities</t>
  </si>
  <si>
    <t>West Valley Cities* (tons)</t>
  </si>
  <si>
    <t>* Cambell, Los Gatos, Monte Sereno, Saratoga</t>
  </si>
  <si>
    <t>Organics Generation - West Valley Cities</t>
  </si>
  <si>
    <t>Los Altos Hills</t>
  </si>
  <si>
    <t xml:space="preserve">Current Organics Disposed in Landfill </t>
  </si>
  <si>
    <t>Additional Capacity Needed by 2024</t>
  </si>
  <si>
    <t>Sub Total</t>
  </si>
  <si>
    <t>Proportion Organics Diverted **</t>
  </si>
  <si>
    <t>**California yearly waste diversion targets 50% by 2020 and 75% by 2025</t>
  </si>
  <si>
    <t>Required growth in diversion to hit targets **</t>
  </si>
  <si>
    <t>Current Organics Total</t>
  </si>
  <si>
    <t xml:space="preserve">Gilroy </t>
  </si>
  <si>
    <t>Organics Generation - Gilroy</t>
  </si>
  <si>
    <t>Gilroy</t>
  </si>
  <si>
    <t>Subtotal Diverted Organics</t>
  </si>
  <si>
    <t>Mixed</t>
  </si>
  <si>
    <t>Santa Clara County 2021 Organic Tons*</t>
  </si>
  <si>
    <t>Generated</t>
  </si>
  <si>
    <t>Disposed</t>
  </si>
  <si>
    <t>Diverted</t>
  </si>
  <si>
    <t>County Total</t>
  </si>
  <si>
    <t>Santa Clara County Organics Materials by Generator and Stream</t>
  </si>
  <si>
    <t>Material Type</t>
  </si>
  <si>
    <t>%</t>
  </si>
  <si>
    <t>Tons</t>
  </si>
  <si>
    <t>Organic Materials</t>
  </si>
  <si>
    <t xml:space="preserve">Potentially compostable </t>
  </si>
  <si>
    <t>Tons by material may not sum to total due to rounding.</t>
  </si>
  <si>
    <t xml:space="preserve">Disposed </t>
  </si>
  <si>
    <t>Organics in Trash (Tons)**</t>
  </si>
  <si>
    <t>Required growth in diversion to hit targets ***</t>
  </si>
  <si>
    <t>** San Jose sorts incoming waste to divert all organics</t>
  </si>
  <si>
    <t>***California yearly waste diversion targets 50% by 2020 and 75% by 2025</t>
  </si>
  <si>
    <t>City</t>
  </si>
  <si>
    <t>Diversion Rate</t>
  </si>
  <si>
    <t>N/A</t>
  </si>
  <si>
    <t>2021 Actual</t>
  </si>
  <si>
    <t>Total (tons)</t>
  </si>
  <si>
    <t>Sector</t>
  </si>
  <si>
    <t xml:space="preserve">Commercial </t>
  </si>
  <si>
    <t>2020 Projected in 2017</t>
  </si>
  <si>
    <t>Disposed (tons)</t>
  </si>
  <si>
    <t>Diverted (tons)</t>
  </si>
  <si>
    <t>2021 Organics Tonnages</t>
  </si>
  <si>
    <t>Waste (tons)</t>
  </si>
  <si>
    <t>Separated Organics (tons)</t>
  </si>
  <si>
    <t>Total Organics (tons)</t>
  </si>
  <si>
    <t>Diverted Organics (tons)</t>
  </si>
  <si>
    <t>*Cambell, Los Gatos, Monte Sereno, Saratoga</t>
  </si>
  <si>
    <t>West Valley Cities (tons)*</t>
  </si>
  <si>
    <t>2019 Organics Collection</t>
  </si>
  <si>
    <t>2021 Organics Collection</t>
  </si>
  <si>
    <t xml:space="preserve">Tons </t>
  </si>
  <si>
    <t>Pop change % from 2021 to 2025</t>
  </si>
  <si>
    <t>Residential Organics</t>
  </si>
  <si>
    <t>Commercial Organics</t>
  </si>
  <si>
    <t>Organics Diversion Rate</t>
  </si>
  <si>
    <t>2019 Organics Diversion Rate</t>
  </si>
  <si>
    <t>2021 Organics Diversion Rate</t>
  </si>
  <si>
    <t>Not included due to Covid-19</t>
  </si>
  <si>
    <t>2019 Total Organics</t>
  </si>
  <si>
    <t>Total Capacity Needed by 2025</t>
  </si>
  <si>
    <t>Mixed Compostables</t>
  </si>
  <si>
    <t>2021 Total Organics</t>
  </si>
  <si>
    <t>Current</t>
  </si>
  <si>
    <t>Projected</t>
  </si>
  <si>
    <t>Projected Capacity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</si>
</sst>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0.000%"/>
    <numFmt numFmtId="166" formatCode="0.000000000%"/>
    <numFmt numFmtId="167" formatCode="0.0000000000%"/>
    <numFmt numFmtId="168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0.5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6" tint="-0.249977111117893"/>
      <name val="Century Gothic"/>
      <family val="2"/>
    </font>
    <font>
      <b/>
      <sz val="11"/>
      <color theme="4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4" tint="0.39997558519241921"/>
      <name val="Century Gothic"/>
      <family val="2"/>
    </font>
    <font>
      <sz val="12"/>
      <color theme="1"/>
      <name val="Century Gothic"/>
      <family val="2"/>
    </font>
    <font>
      <b/>
      <sz val="11"/>
      <color theme="4" tint="0.39997558519241921"/>
      <name val="Century Gothic"/>
      <family val="2"/>
    </font>
    <font>
      <b/>
      <sz val="11"/>
      <color rgb="FF00B050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entury Gothic"/>
      <family val="2"/>
    </font>
    <font>
      <sz val="11"/>
      <color rgb="FF00B050"/>
      <name val="Calibri"/>
      <family val="2"/>
      <scheme val="minor"/>
    </font>
    <font>
      <b/>
      <sz val="11"/>
      <name val="Century Gothic"/>
      <family val="2"/>
    </font>
    <font>
      <b/>
      <sz val="11"/>
      <color rgb="FF00B050"/>
      <name val="Calibri"/>
      <family val="2"/>
      <scheme val="minor"/>
    </font>
    <font>
      <sz val="11"/>
      <name val="Century Gothic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DD2D1"/>
        <bgColor indexed="64"/>
      </patternFill>
    </fill>
    <fill>
      <patternFill patternType="solid">
        <fgColor rgb="FFDEE9E9"/>
        <bgColor indexed="64"/>
      </patternFill>
    </fill>
    <fill>
      <patternFill patternType="solid">
        <fgColor rgb="FFBDD1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343">
    <xf numFmtId="0" fontId="0" fillId="0" borderId="0" xfId="0"/>
    <xf numFmtId="0" fontId="2" fillId="2" borderId="9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/>
    <xf numFmtId="3" fontId="4" fillId="0" borderId="4" xfId="0" applyNumberFormat="1" applyFont="1" applyBorder="1"/>
    <xf numFmtId="3" fontId="4" fillId="0" borderId="10" xfId="0" applyNumberFormat="1" applyFont="1" applyBorder="1"/>
    <xf numFmtId="0" fontId="4" fillId="0" borderId="0" xfId="0" applyFont="1"/>
    <xf numFmtId="3" fontId="2" fillId="0" borderId="4" xfId="0" applyNumberFormat="1" applyFont="1" applyBorder="1"/>
    <xf numFmtId="3" fontId="2" fillId="0" borderId="10" xfId="0" applyNumberFormat="1" applyFont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3" fontId="4" fillId="2" borderId="9" xfId="0" applyNumberFormat="1" applyFont="1" applyFill="1" applyBorder="1"/>
    <xf numFmtId="3" fontId="4" fillId="2" borderId="10" xfId="0" applyNumberFormat="1" applyFont="1" applyFill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4" fillId="0" borderId="9" xfId="0" applyFont="1" applyBorder="1" applyAlignment="1"/>
    <xf numFmtId="0" fontId="2" fillId="3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Continuous"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/>
    <xf numFmtId="0" fontId="2" fillId="4" borderId="9" xfId="0" applyFont="1" applyFill="1" applyBorder="1" applyAlignment="1"/>
    <xf numFmtId="0" fontId="2" fillId="4" borderId="9" xfId="0" applyFont="1" applyFill="1" applyBorder="1" applyAlignment="1">
      <alignment horizontal="right"/>
    </xf>
    <xf numFmtId="0" fontId="2" fillId="4" borderId="10" xfId="0" applyFont="1" applyFill="1" applyBorder="1"/>
    <xf numFmtId="3" fontId="2" fillId="4" borderId="4" xfId="0" applyNumberFormat="1" applyFont="1" applyFill="1" applyBorder="1"/>
    <xf numFmtId="0" fontId="5" fillId="0" borderId="0" xfId="0" applyFont="1"/>
    <xf numFmtId="0" fontId="0" fillId="0" borderId="11" xfId="0" applyBorder="1"/>
    <xf numFmtId="0" fontId="6" fillId="0" borderId="0" xfId="0" applyFont="1"/>
    <xf numFmtId="0" fontId="2" fillId="0" borderId="0" xfId="0" applyFont="1"/>
    <xf numFmtId="3" fontId="4" fillId="0" borderId="4" xfId="0" applyNumberFormat="1" applyFont="1" applyBorder="1" applyAlignment="1">
      <alignment horizontal="center"/>
    </xf>
    <xf numFmtId="3" fontId="0" fillId="0" borderId="0" xfId="0" applyNumberFormat="1"/>
    <xf numFmtId="0" fontId="7" fillId="0" borderId="0" xfId="0" applyFont="1"/>
    <xf numFmtId="0" fontId="0" fillId="0" borderId="0" xfId="0" applyFill="1"/>
    <xf numFmtId="3" fontId="4" fillId="0" borderId="4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2" borderId="0" xfId="0" applyFont="1" applyFill="1"/>
    <xf numFmtId="0" fontId="2" fillId="2" borderId="14" xfId="0" applyFont="1" applyFill="1" applyBorder="1" applyAlignment="1">
      <alignment horizontal="centerContinuous"/>
    </xf>
    <xf numFmtId="10" fontId="4" fillId="2" borderId="14" xfId="0" applyNumberFormat="1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 wrapText="1"/>
    </xf>
    <xf numFmtId="0" fontId="2" fillId="2" borderId="0" xfId="0" quotePrefix="1" applyFont="1" applyFill="1" applyAlignment="1">
      <alignment horizontal="right"/>
    </xf>
    <xf numFmtId="164" fontId="2" fillId="0" borderId="0" xfId="0" applyNumberFormat="1" applyFont="1"/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0" fontId="3" fillId="4" borderId="1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Border="1" applyAlignment="1">
      <alignment horizontal="left"/>
    </xf>
    <xf numFmtId="0" fontId="0" fillId="0" borderId="10" xfId="0" applyBorder="1"/>
    <xf numFmtId="0" fontId="4" fillId="0" borderId="9" xfId="0" applyFont="1" applyFill="1" applyBorder="1" applyAlignment="1"/>
    <xf numFmtId="164" fontId="12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14" fillId="0" borderId="0" xfId="2"/>
    <xf numFmtId="3" fontId="15" fillId="0" borderId="0" xfId="0" applyNumberFormat="1" applyFont="1" applyFill="1" applyBorder="1"/>
    <xf numFmtId="166" fontId="0" fillId="0" borderId="0" xfId="1" applyNumberFormat="1" applyFont="1"/>
    <xf numFmtId="165" fontId="4" fillId="0" borderId="4" xfId="0" applyNumberFormat="1" applyFont="1" applyFill="1" applyBorder="1" applyAlignment="1">
      <alignment horizontal="center"/>
    </xf>
    <xf numFmtId="0" fontId="4" fillId="0" borderId="0" xfId="0" applyFont="1" applyBorder="1"/>
    <xf numFmtId="0" fontId="2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8" xfId="0" applyFont="1" applyBorder="1" applyAlignment="1">
      <alignment wrapText="1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Continuous" vertical="center"/>
    </xf>
    <xf numFmtId="0" fontId="3" fillId="4" borderId="4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left"/>
    </xf>
    <xf numFmtId="0" fontId="16" fillId="0" borderId="0" xfId="0" applyFont="1" applyFill="1" applyBorder="1" applyAlignment="1"/>
    <xf numFmtId="0" fontId="12" fillId="0" borderId="9" xfId="0" applyFont="1" applyBorder="1" applyAlignment="1">
      <alignment horizontal="right"/>
    </xf>
    <xf numFmtId="0" fontId="12" fillId="0" borderId="10" xfId="0" applyFont="1" applyBorder="1"/>
    <xf numFmtId="3" fontId="12" fillId="0" borderId="4" xfId="0" applyNumberFormat="1" applyFont="1" applyBorder="1"/>
    <xf numFmtId="3" fontId="12" fillId="0" borderId="10" xfId="0" applyNumberFormat="1" applyFont="1" applyBorder="1"/>
    <xf numFmtId="0" fontId="16" fillId="0" borderId="9" xfId="0" applyFont="1" applyFill="1" applyBorder="1" applyAlignment="1"/>
    <xf numFmtId="0" fontId="12" fillId="0" borderId="9" xfId="0" applyFont="1" applyBorder="1" applyAlignment="1">
      <alignment horizontal="left"/>
    </xf>
    <xf numFmtId="0" fontId="12" fillId="0" borderId="6" xfId="0" applyFont="1" applyBorder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6" fillId="0" borderId="9" xfId="0" applyFont="1" applyBorder="1" applyAlignment="1">
      <alignment horizontal="right"/>
    </xf>
    <xf numFmtId="0" fontId="16" fillId="0" borderId="10" xfId="0" applyFont="1" applyBorder="1"/>
    <xf numFmtId="3" fontId="16" fillId="0" borderId="4" xfId="0" applyNumberFormat="1" applyFont="1" applyBorder="1"/>
    <xf numFmtId="3" fontId="16" fillId="0" borderId="10" xfId="0" applyNumberFormat="1" applyFont="1" applyBorder="1"/>
    <xf numFmtId="0" fontId="16" fillId="0" borderId="8" xfId="0" applyFont="1" applyBorder="1" applyAlignment="1">
      <alignment horizontal="left"/>
    </xf>
    <xf numFmtId="0" fontId="2" fillId="7" borderId="10" xfId="0" applyFont="1" applyFill="1" applyBorder="1"/>
    <xf numFmtId="3" fontId="2" fillId="7" borderId="4" xfId="0" applyNumberFormat="1" applyFont="1" applyFill="1" applyBorder="1"/>
    <xf numFmtId="0" fontId="12" fillId="0" borderId="9" xfId="0" applyFont="1" applyBorder="1" applyAlignment="1">
      <alignment horizontal="center"/>
    </xf>
    <xf numFmtId="0" fontId="17" fillId="0" borderId="10" xfId="0" applyFont="1" applyBorder="1"/>
    <xf numFmtId="0" fontId="12" fillId="0" borderId="9" xfId="0" applyFont="1" applyBorder="1" applyAlignment="1"/>
    <xf numFmtId="0" fontId="16" fillId="0" borderId="9" xfId="0" applyFont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/>
    <xf numFmtId="3" fontId="18" fillId="4" borderId="4" xfId="0" applyNumberFormat="1" applyFont="1" applyFill="1" applyBorder="1"/>
    <xf numFmtId="0" fontId="19" fillId="0" borderId="10" xfId="0" applyFont="1" applyBorder="1"/>
    <xf numFmtId="3" fontId="2" fillId="0" borderId="4" xfId="0" applyNumberFormat="1" applyFont="1" applyFill="1" applyBorder="1"/>
    <xf numFmtId="0" fontId="17" fillId="0" borderId="0" xfId="0" applyFont="1"/>
    <xf numFmtId="3" fontId="4" fillId="0" borderId="4" xfId="0" applyNumberFormat="1" applyFont="1" applyFill="1" applyBorder="1"/>
    <xf numFmtId="167" fontId="0" fillId="0" borderId="0" xfId="1" applyNumberFormat="1" applyFont="1"/>
    <xf numFmtId="9" fontId="0" fillId="0" borderId="0" xfId="1" applyFont="1"/>
    <xf numFmtId="9" fontId="4" fillId="0" borderId="4" xfId="1" applyFont="1" applyFill="1" applyBorder="1" applyAlignment="1">
      <alignment horizontal="center"/>
    </xf>
    <xf numFmtId="9" fontId="4" fillId="6" borderId="4" xfId="1" applyFont="1" applyFill="1" applyBorder="1" applyAlignment="1">
      <alignment horizontal="center"/>
    </xf>
    <xf numFmtId="0" fontId="12" fillId="0" borderId="9" xfId="0" applyFont="1" applyBorder="1"/>
    <xf numFmtId="0" fontId="16" fillId="0" borderId="9" xfId="0" applyFont="1" applyBorder="1"/>
    <xf numFmtId="3" fontId="12" fillId="0" borderId="4" xfId="0" applyNumberFormat="1" applyFont="1" applyFill="1" applyBorder="1"/>
    <xf numFmtId="164" fontId="4" fillId="0" borderId="4" xfId="1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4" fontId="4" fillId="6" borderId="4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/>
    </xf>
    <xf numFmtId="3" fontId="20" fillId="0" borderId="4" xfId="0" applyNumberFormat="1" applyFont="1" applyBorder="1"/>
    <xf numFmtId="3" fontId="20" fillId="0" borderId="4" xfId="0" applyNumberFormat="1" applyFont="1" applyFill="1" applyBorder="1"/>
    <xf numFmtId="3" fontId="20" fillId="0" borderId="4" xfId="0" applyNumberFormat="1" applyFont="1" applyFill="1" applyBorder="1" applyAlignment="1">
      <alignment horizontal="center"/>
    </xf>
    <xf numFmtId="0" fontId="0" fillId="8" borderId="8" xfId="0" applyFill="1" applyBorder="1"/>
    <xf numFmtId="0" fontId="1" fillId="8" borderId="1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8" xfId="0" applyFont="1" applyFill="1" applyBorder="1"/>
    <xf numFmtId="0" fontId="0" fillId="8" borderId="9" xfId="0" applyFill="1" applyBorder="1"/>
    <xf numFmtId="0" fontId="0" fillId="8" borderId="10" xfId="0" applyFill="1" applyBorder="1"/>
    <xf numFmtId="0" fontId="0" fillId="2" borderId="8" xfId="0" applyFill="1" applyBorder="1"/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5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" fillId="9" borderId="8" xfId="0" applyFont="1" applyFill="1" applyBorder="1"/>
    <xf numFmtId="168" fontId="1" fillId="9" borderId="9" xfId="0" applyNumberFormat="1" applyFont="1" applyFill="1" applyBorder="1"/>
    <xf numFmtId="168" fontId="1" fillId="9" borderId="10" xfId="0" applyNumberFormat="1" applyFont="1" applyFill="1" applyBorder="1"/>
    <xf numFmtId="168" fontId="13" fillId="6" borderId="3" xfId="3" applyNumberFormat="1" applyFont="1" applyFill="1" applyBorder="1"/>
    <xf numFmtId="168" fontId="0" fillId="6" borderId="2" xfId="3" applyNumberFormat="1" applyFont="1" applyFill="1" applyBorder="1"/>
    <xf numFmtId="168" fontId="0" fillId="6" borderId="3" xfId="3" applyNumberFormat="1" applyFont="1" applyFill="1" applyBorder="1"/>
    <xf numFmtId="168" fontId="0" fillId="6" borderId="0" xfId="3" applyNumberFormat="1" applyFont="1" applyFill="1" applyBorder="1"/>
    <xf numFmtId="0" fontId="0" fillId="6" borderId="15" xfId="0" applyFill="1" applyBorder="1"/>
    <xf numFmtId="9" fontId="0" fillId="6" borderId="15" xfId="1" applyFont="1" applyFill="1" applyBorder="1"/>
    <xf numFmtId="9" fontId="0" fillId="6" borderId="0" xfId="1" applyFont="1" applyFill="1" applyBorder="1"/>
    <xf numFmtId="168" fontId="0" fillId="6" borderId="16" xfId="0" applyNumberFormat="1" applyFill="1" applyBorder="1"/>
    <xf numFmtId="168" fontId="0" fillId="6" borderId="0" xfId="0" applyNumberFormat="1" applyFill="1"/>
    <xf numFmtId="0" fontId="0" fillId="6" borderId="0" xfId="0" applyFill="1"/>
    <xf numFmtId="0" fontId="21" fillId="6" borderId="0" xfId="0" applyFont="1" applyFill="1" applyBorder="1"/>
    <xf numFmtId="168" fontId="0" fillId="6" borderId="0" xfId="0" applyNumberFormat="1" applyFill="1" applyBorder="1"/>
    <xf numFmtId="0" fontId="0" fillId="6" borderId="1" xfId="0" applyFill="1" applyBorder="1" applyAlignment="1">
      <alignment horizontal="left" indent="1"/>
    </xf>
    <xf numFmtId="0" fontId="0" fillId="6" borderId="0" xfId="0" applyFill="1" applyBorder="1" applyAlignment="1">
      <alignment horizontal="left" vertical="top" wrapText="1"/>
    </xf>
    <xf numFmtId="0" fontId="1" fillId="6" borderId="0" xfId="0" applyFont="1" applyFill="1"/>
    <xf numFmtId="164" fontId="0" fillId="6" borderId="15" xfId="1" applyNumberFormat="1" applyFont="1" applyFill="1" applyBorder="1"/>
    <xf numFmtId="164" fontId="1" fillId="9" borderId="8" xfId="0" applyNumberFormat="1" applyFont="1" applyFill="1" applyBorder="1"/>
    <xf numFmtId="164" fontId="1" fillId="9" borderId="9" xfId="0" applyNumberFormat="1" applyFont="1" applyFill="1" applyBorder="1"/>
    <xf numFmtId="164" fontId="0" fillId="6" borderId="0" xfId="1" applyNumberFormat="1" applyFont="1" applyFill="1" applyBorder="1"/>
    <xf numFmtId="9" fontId="0" fillId="6" borderId="0" xfId="0" applyNumberFormat="1" applyFill="1"/>
    <xf numFmtId="3" fontId="4" fillId="0" borderId="10" xfId="0" applyNumberFormat="1" applyFont="1" applyFill="1" applyBorder="1"/>
    <xf numFmtId="9" fontId="0" fillId="6" borderId="16" xfId="1" applyFont="1" applyFill="1" applyBorder="1"/>
    <xf numFmtId="0" fontId="0" fillId="6" borderId="16" xfId="0" applyFill="1" applyBorder="1" applyAlignment="1">
      <alignment horizontal="right"/>
    </xf>
    <xf numFmtId="0" fontId="0" fillId="6" borderId="16" xfId="0" applyFill="1" applyBorder="1"/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0" fillId="10" borderId="16" xfId="0" applyFill="1" applyBorder="1" applyAlignment="1">
      <alignment horizontal="right"/>
    </xf>
    <xf numFmtId="9" fontId="0" fillId="10" borderId="16" xfId="1" applyFont="1" applyFill="1" applyBorder="1"/>
    <xf numFmtId="0" fontId="0" fillId="6" borderId="17" xfId="0" applyFill="1" applyBorder="1" applyAlignment="1">
      <alignment horizontal="right"/>
    </xf>
    <xf numFmtId="0" fontId="0" fillId="10" borderId="17" xfId="0" applyFill="1" applyBorder="1" applyAlignment="1">
      <alignment horizontal="right"/>
    </xf>
    <xf numFmtId="0" fontId="0" fillId="10" borderId="15" xfId="0" applyFill="1" applyBorder="1"/>
    <xf numFmtId="164" fontId="0" fillId="10" borderId="15" xfId="1" applyNumberFormat="1" applyFont="1" applyFill="1" applyBorder="1"/>
    <xf numFmtId="168" fontId="0" fillId="10" borderId="0" xfId="3" applyNumberFormat="1" applyFont="1" applyFill="1" applyBorder="1"/>
    <xf numFmtId="168" fontId="0" fillId="10" borderId="16" xfId="0" applyNumberFormat="1" applyFill="1" applyBorder="1"/>
    <xf numFmtId="168" fontId="0" fillId="6" borderId="12" xfId="0" applyNumberFormat="1" applyFill="1" applyBorder="1"/>
    <xf numFmtId="168" fontId="0" fillId="6" borderId="17" xfId="0" applyNumberFormat="1" applyFill="1" applyBorder="1"/>
    <xf numFmtId="0" fontId="1" fillId="8" borderId="4" xfId="0" applyFont="1" applyFill="1" applyBorder="1"/>
    <xf numFmtId="0" fontId="1" fillId="2" borderId="12" xfId="0" applyFont="1" applyFill="1" applyBorder="1"/>
    <xf numFmtId="0" fontId="1" fillId="2" borderId="4" xfId="0" applyFont="1" applyFill="1" applyBorder="1"/>
    <xf numFmtId="0" fontId="1" fillId="2" borderId="12" xfId="0" applyFont="1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1" fillId="8" borderId="4" xfId="0" applyFont="1" applyFill="1" applyBorder="1" applyAlignment="1">
      <alignment wrapText="1"/>
    </xf>
    <xf numFmtId="1" fontId="0" fillId="6" borderId="0" xfId="1" applyNumberFormat="1" applyFont="1" applyFill="1"/>
    <xf numFmtId="1" fontId="0" fillId="10" borderId="0" xfId="1" applyNumberFormat="1" applyFont="1" applyFill="1" applyAlignment="1">
      <alignment horizontal="right"/>
    </xf>
    <xf numFmtId="1" fontId="0" fillId="10" borderId="0" xfId="1" applyNumberFormat="1" applyFont="1" applyFill="1" applyBorder="1" applyAlignment="1">
      <alignment horizontal="right"/>
    </xf>
    <xf numFmtId="1" fontId="0" fillId="10" borderId="0" xfId="1" applyNumberFormat="1" applyFont="1" applyFill="1"/>
    <xf numFmtId="1" fontId="0" fillId="6" borderId="0" xfId="1" applyNumberFormat="1" applyFont="1" applyFill="1" applyBorder="1"/>
    <xf numFmtId="0" fontId="1" fillId="11" borderId="16" xfId="0" applyFont="1" applyFill="1" applyBorder="1" applyAlignment="1">
      <alignment horizontal="right"/>
    </xf>
    <xf numFmtId="1" fontId="1" fillId="11" borderId="0" xfId="1" applyNumberFormat="1" applyFont="1" applyFill="1"/>
    <xf numFmtId="0" fontId="1" fillId="2" borderId="6" xfId="0" applyFont="1" applyFill="1" applyBorder="1" applyAlignment="1">
      <alignment horizontal="center"/>
    </xf>
    <xf numFmtId="1" fontId="0" fillId="10" borderId="0" xfId="1" applyNumberFormat="1" applyFont="1" applyFill="1" applyBorder="1"/>
    <xf numFmtId="1" fontId="1" fillId="11" borderId="0" xfId="1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9" fontId="1" fillId="2" borderId="16" xfId="1" applyFont="1" applyFill="1" applyBorder="1"/>
    <xf numFmtId="0" fontId="2" fillId="5" borderId="8" xfId="0" applyFont="1" applyFill="1" applyBorder="1" applyAlignment="1">
      <alignment horizontal="centerContinuous"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7" xfId="0" applyFill="1" applyBorder="1"/>
    <xf numFmtId="0" fontId="4" fillId="0" borderId="6" xfId="0" applyFont="1" applyBorder="1"/>
    <xf numFmtId="0" fontId="0" fillId="0" borderId="0" xfId="0" applyBorder="1"/>
    <xf numFmtId="9" fontId="13" fillId="6" borderId="0" xfId="1" applyFont="1" applyFill="1"/>
    <xf numFmtId="9" fontId="13" fillId="6" borderId="3" xfId="1" applyFont="1" applyFill="1" applyBorder="1"/>
    <xf numFmtId="9" fontId="13" fillId="10" borderId="0" xfId="1" applyFont="1" applyFill="1" applyAlignment="1">
      <alignment horizontal="right"/>
    </xf>
    <xf numFmtId="9" fontId="13" fillId="10" borderId="16" xfId="1" applyFont="1" applyFill="1" applyBorder="1"/>
    <xf numFmtId="9" fontId="13" fillId="6" borderId="16" xfId="1" applyFont="1" applyFill="1" applyBorder="1"/>
    <xf numFmtId="9" fontId="13" fillId="10" borderId="0" xfId="1" applyFont="1" applyFill="1" applyBorder="1" applyAlignment="1">
      <alignment horizontal="right"/>
    </xf>
    <xf numFmtId="9" fontId="13" fillId="10" borderId="0" xfId="1" applyFont="1" applyFill="1"/>
    <xf numFmtId="168" fontId="0" fillId="0" borderId="0" xfId="3" applyNumberFormat="1" applyFont="1" applyFill="1" applyBorder="1"/>
    <xf numFmtId="168" fontId="0" fillId="0" borderId="16" xfId="0" applyNumberFormat="1" applyFill="1" applyBorder="1"/>
    <xf numFmtId="164" fontId="0" fillId="0" borderId="15" xfId="1" applyNumberFormat="1" applyFont="1" applyFill="1" applyBorder="1"/>
    <xf numFmtId="3" fontId="12" fillId="0" borderId="4" xfId="0" applyNumberFormat="1" applyFont="1" applyFill="1" applyBorder="1" applyAlignment="1">
      <alignment horizontal="right"/>
    </xf>
    <xf numFmtId="3" fontId="12" fillId="0" borderId="10" xfId="0" applyNumberFormat="1" applyFont="1" applyFill="1" applyBorder="1"/>
    <xf numFmtId="3" fontId="20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3" fillId="6" borderId="0" xfId="1" applyNumberFormat="1" applyFont="1" applyFill="1"/>
    <xf numFmtId="1" fontId="13" fillId="10" borderId="0" xfId="1" applyNumberFormat="1" applyFont="1" applyFill="1" applyAlignment="1">
      <alignment horizontal="right"/>
    </xf>
    <xf numFmtId="1" fontId="13" fillId="10" borderId="0" xfId="1" applyNumberFormat="1" applyFont="1" applyFill="1" applyBorder="1" applyAlignment="1">
      <alignment horizontal="right"/>
    </xf>
    <xf numFmtId="1" fontId="13" fillId="10" borderId="0" xfId="1" applyNumberFormat="1" applyFont="1" applyFill="1"/>
    <xf numFmtId="9" fontId="0" fillId="6" borderId="0" xfId="1" applyFont="1" applyFill="1"/>
    <xf numFmtId="3" fontId="0" fillId="6" borderId="0" xfId="0" applyNumberFormat="1" applyFill="1"/>
    <xf numFmtId="0" fontId="24" fillId="10" borderId="16" xfId="0" applyFont="1" applyFill="1" applyBorder="1" applyAlignment="1">
      <alignment horizontal="right"/>
    </xf>
    <xf numFmtId="3" fontId="24" fillId="10" borderId="0" xfId="0" applyNumberFormat="1" applyFont="1" applyFill="1"/>
    <xf numFmtId="9" fontId="24" fillId="10" borderId="0" xfId="1" applyFont="1" applyFill="1"/>
    <xf numFmtId="9" fontId="24" fillId="10" borderId="16" xfId="1" applyFont="1" applyFill="1" applyBorder="1"/>
    <xf numFmtId="9" fontId="0" fillId="10" borderId="16" xfId="1" applyFont="1" applyFill="1" applyBorder="1" applyAlignment="1">
      <alignment horizontal="right"/>
    </xf>
    <xf numFmtId="9" fontId="13" fillId="6" borderId="16" xfId="1" applyFont="1" applyFill="1" applyBorder="1" applyAlignment="1">
      <alignment horizontal="right"/>
    </xf>
    <xf numFmtId="0" fontId="2" fillId="10" borderId="8" xfId="0" applyFont="1" applyFill="1" applyBorder="1"/>
    <xf numFmtId="0" fontId="2" fillId="10" borderId="9" xfId="0" applyFont="1" applyFill="1" applyBorder="1"/>
    <xf numFmtId="0" fontId="2" fillId="10" borderId="10" xfId="0" applyFont="1" applyFill="1" applyBorder="1"/>
    <xf numFmtId="3" fontId="4" fillId="10" borderId="4" xfId="0" applyNumberFormat="1" applyFont="1" applyFill="1" applyBorder="1"/>
    <xf numFmtId="3" fontId="4" fillId="10" borderId="10" xfId="0" applyNumberFormat="1" applyFont="1" applyFill="1" applyBorder="1"/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/>
    <xf numFmtId="9" fontId="0" fillId="6" borderId="12" xfId="1" applyFont="1" applyFill="1" applyBorder="1"/>
    <xf numFmtId="164" fontId="0" fillId="10" borderId="0" xfId="1" applyNumberFormat="1" applyFont="1" applyFill="1" applyBorder="1"/>
    <xf numFmtId="0" fontId="0" fillId="10" borderId="0" xfId="0" applyFill="1"/>
    <xf numFmtId="168" fontId="0" fillId="10" borderId="17" xfId="0" applyNumberFormat="1" applyFill="1" applyBorder="1"/>
    <xf numFmtId="168" fontId="1" fillId="2" borderId="16" xfId="0" applyNumberFormat="1" applyFont="1" applyFill="1" applyBorder="1"/>
    <xf numFmtId="168" fontId="1" fillId="2" borderId="0" xfId="0" applyNumberFormat="1" applyFont="1" applyFill="1" applyBorder="1"/>
    <xf numFmtId="9" fontId="1" fillId="2" borderId="4" xfId="1" applyFont="1" applyFill="1" applyBorder="1"/>
    <xf numFmtId="0" fontId="0" fillId="10" borderId="15" xfId="0" applyFill="1" applyBorder="1" applyAlignment="1">
      <alignment horizontal="left" indent="1"/>
    </xf>
    <xf numFmtId="168" fontId="13" fillId="10" borderId="16" xfId="3" applyNumberFormat="1" applyFont="1" applyFill="1" applyBorder="1"/>
    <xf numFmtId="168" fontId="0" fillId="10" borderId="16" xfId="3" applyNumberFormat="1" applyFont="1" applyFill="1" applyBorder="1"/>
    <xf numFmtId="9" fontId="0" fillId="10" borderId="17" xfId="1" applyFont="1" applyFill="1" applyBorder="1"/>
    <xf numFmtId="3" fontId="2" fillId="0" borderId="4" xfId="0" applyNumberFormat="1" applyFont="1" applyBorder="1" applyAlignment="1">
      <alignment horizontal="right"/>
    </xf>
    <xf numFmtId="0" fontId="27" fillId="0" borderId="0" xfId="0" applyFont="1"/>
    <xf numFmtId="9" fontId="0" fillId="6" borderId="0" xfId="1" applyFont="1" applyFill="1" applyAlignment="1">
      <alignment horizontal="right"/>
    </xf>
    <xf numFmtId="0" fontId="0" fillId="6" borderId="0" xfId="0" applyFill="1" applyBorder="1"/>
    <xf numFmtId="1" fontId="0" fillId="6" borderId="0" xfId="1" applyNumberFormat="1" applyFont="1" applyFill="1" applyAlignment="1">
      <alignment horizontal="right"/>
    </xf>
    <xf numFmtId="9" fontId="0" fillId="6" borderId="16" xfId="1" applyFont="1" applyFill="1" applyBorder="1" applyAlignment="1">
      <alignment horizontal="right"/>
    </xf>
    <xf numFmtId="0" fontId="0" fillId="0" borderId="16" xfId="0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/>
    <xf numFmtId="9" fontId="1" fillId="2" borderId="0" xfId="1" applyFont="1" applyFill="1"/>
    <xf numFmtId="0" fontId="4" fillId="6" borderId="0" xfId="0" applyFont="1" applyFill="1"/>
    <xf numFmtId="0" fontId="7" fillId="6" borderId="0" xfId="0" applyFont="1" applyFill="1"/>
    <xf numFmtId="3" fontId="4" fillId="0" borderId="0" xfId="0" applyNumberFormat="1" applyFont="1" applyFill="1"/>
    <xf numFmtId="0" fontId="15" fillId="6" borderId="16" xfId="0" applyFont="1" applyFill="1" applyBorder="1" applyAlignment="1">
      <alignment horizontal="right"/>
    </xf>
    <xf numFmtId="9" fontId="15" fillId="6" borderId="0" xfId="1" applyFont="1" applyFill="1"/>
    <xf numFmtId="9" fontId="15" fillId="6" borderId="16" xfId="1" applyFont="1" applyFill="1" applyBorder="1"/>
    <xf numFmtId="0" fontId="15" fillId="10" borderId="16" xfId="0" applyFont="1" applyFill="1" applyBorder="1" applyAlignment="1">
      <alignment horizontal="right"/>
    </xf>
    <xf numFmtId="9" fontId="15" fillId="10" borderId="0" xfId="1" applyFont="1" applyFill="1"/>
    <xf numFmtId="9" fontId="15" fillId="10" borderId="16" xfId="1" applyFont="1" applyFill="1" applyBorder="1"/>
    <xf numFmtId="0" fontId="15" fillId="6" borderId="17" xfId="0" applyFont="1" applyFill="1" applyBorder="1" applyAlignment="1">
      <alignment horizontal="right"/>
    </xf>
    <xf numFmtId="9" fontId="15" fillId="10" borderId="0" xfId="1" applyFont="1" applyFill="1" applyAlignment="1">
      <alignment horizontal="right"/>
    </xf>
    <xf numFmtId="0" fontId="15" fillId="10" borderId="17" xfId="0" applyFont="1" applyFill="1" applyBorder="1" applyAlignment="1">
      <alignment horizontal="right"/>
    </xf>
    <xf numFmtId="9" fontId="15" fillId="10" borderId="0" xfId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5" borderId="4" xfId="0" applyNumberFormat="1" applyFont="1" applyFill="1" applyBorder="1" applyAlignment="1">
      <alignment horizontal="center"/>
    </xf>
    <xf numFmtId="165" fontId="4" fillId="5" borderId="4" xfId="0" applyNumberFormat="1" applyFont="1" applyFill="1" applyBorder="1" applyAlignment="1">
      <alignment horizontal="center"/>
    </xf>
    <xf numFmtId="9" fontId="4" fillId="5" borderId="4" xfId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0" fillId="5" borderId="4" xfId="0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6" borderId="8" xfId="0" applyNumberFormat="1" applyFont="1" applyFill="1" applyBorder="1" applyAlignment="1">
      <alignment horizontal="center"/>
    </xf>
    <xf numFmtId="3" fontId="4" fillId="6" borderId="9" xfId="0" applyNumberFormat="1" applyFont="1" applyFill="1" applyBorder="1" applyAlignment="1">
      <alignment horizontal="center"/>
    </xf>
    <xf numFmtId="3" fontId="4" fillId="6" borderId="10" xfId="0" applyNumberFormat="1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 textRotation="45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6" borderId="0" xfId="0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DD1D2"/>
      <color rgb="FFDEE9E9"/>
      <color rgb="FFBDD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83098468779965"/>
          <c:y val="2.0902846288182848E-2"/>
          <c:w val="0.63298155460850358"/>
          <c:h val="0.77720071311840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Summary!$K$15</c:f>
              <c:strCache>
                <c:ptCount val="1"/>
                <c:pt idx="0">
                  <c:v>Clean Wood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Summary!$L$13:$O$14</c:f>
              <c:multiLvlStrCache>
                <c:ptCount val="4"/>
                <c:lvl>
                  <c:pt idx="0">
                    <c:v>Disposed</c:v>
                  </c:pt>
                  <c:pt idx="1">
                    <c:v>Diverted</c:v>
                  </c:pt>
                  <c:pt idx="2">
                    <c:v>Disposed </c:v>
                  </c:pt>
                  <c:pt idx="3">
                    <c:v>Diverted</c:v>
                  </c:pt>
                </c:lvl>
                <c:lvl>
                  <c:pt idx="0">
                    <c:v>Residential</c:v>
                  </c:pt>
                  <c:pt idx="2">
                    <c:v>Commercial</c:v>
                  </c:pt>
                </c:lvl>
              </c:multiLvlStrCache>
            </c:multiLvlStrRef>
          </c:cat>
          <c:val>
            <c:numRef>
              <c:f>Summary!$L$15:$O$15</c:f>
              <c:numCache>
                <c:formatCode>_(* #,##0_);_(* \(#,##0\);_(* "-"??_);_(@_)</c:formatCode>
                <c:ptCount val="4"/>
                <c:pt idx="0">
                  <c:v>3353.3763309429792</c:v>
                </c:pt>
                <c:pt idx="1">
                  <c:v>0</c:v>
                </c:pt>
                <c:pt idx="2">
                  <c:v>19696.765467460784</c:v>
                </c:pt>
                <c:pt idx="3">
                  <c:v>253.64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0-43FA-9ED9-EE6F778F89E8}"/>
            </c:ext>
          </c:extLst>
        </c:ser>
        <c:ser>
          <c:idx val="1"/>
          <c:order val="1"/>
          <c:tx>
            <c:strRef>
              <c:f>Summary!$K$16</c:f>
              <c:strCache>
                <c:ptCount val="1"/>
                <c:pt idx="0">
                  <c:v>Compostable Paper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Summary!$L$13:$O$14</c:f>
              <c:multiLvlStrCache>
                <c:ptCount val="4"/>
                <c:lvl>
                  <c:pt idx="0">
                    <c:v>Disposed</c:v>
                  </c:pt>
                  <c:pt idx="1">
                    <c:v>Diverted</c:v>
                  </c:pt>
                  <c:pt idx="2">
                    <c:v>Disposed </c:v>
                  </c:pt>
                  <c:pt idx="3">
                    <c:v>Diverted</c:v>
                  </c:pt>
                </c:lvl>
                <c:lvl>
                  <c:pt idx="0">
                    <c:v>Residential</c:v>
                  </c:pt>
                  <c:pt idx="2">
                    <c:v>Commercial</c:v>
                  </c:pt>
                </c:lvl>
              </c:multiLvlStrCache>
            </c:multiLvlStrRef>
          </c:cat>
          <c:val>
            <c:numRef>
              <c:f>Summary!$L$16:$O$16</c:f>
              <c:numCache>
                <c:formatCode>_(* #,##0_);_(* \(#,##0\);_(* "-"??_);_(@_)</c:formatCode>
                <c:ptCount val="4"/>
                <c:pt idx="0">
                  <c:v>12373.844374884706</c:v>
                </c:pt>
                <c:pt idx="1">
                  <c:v>0</c:v>
                </c:pt>
                <c:pt idx="2">
                  <c:v>17832.198215794695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0-43FA-9ED9-EE6F778F89E8}"/>
            </c:ext>
          </c:extLst>
        </c:ser>
        <c:ser>
          <c:idx val="2"/>
          <c:order val="2"/>
          <c:tx>
            <c:strRef>
              <c:f>Summary!$K$17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Summary!$L$13:$O$14</c:f>
              <c:multiLvlStrCache>
                <c:ptCount val="4"/>
                <c:lvl>
                  <c:pt idx="0">
                    <c:v>Disposed</c:v>
                  </c:pt>
                  <c:pt idx="1">
                    <c:v>Diverted</c:v>
                  </c:pt>
                  <c:pt idx="2">
                    <c:v>Disposed </c:v>
                  </c:pt>
                  <c:pt idx="3">
                    <c:v>Diverted</c:v>
                  </c:pt>
                </c:lvl>
                <c:lvl>
                  <c:pt idx="0">
                    <c:v>Residential</c:v>
                  </c:pt>
                  <c:pt idx="2">
                    <c:v>Commercial</c:v>
                  </c:pt>
                </c:lvl>
              </c:multiLvlStrCache>
            </c:multiLvlStrRef>
          </c:cat>
          <c:val>
            <c:numRef>
              <c:f>Summary!$L$17:$O$17</c:f>
              <c:numCache>
                <c:formatCode>_(* #,##0_);_(* \(#,##0\);_(* "-"??_);_(@_)</c:formatCode>
                <c:ptCount val="4"/>
                <c:pt idx="0">
                  <c:v>30823.440050648103</c:v>
                </c:pt>
                <c:pt idx="1">
                  <c:v>38907.07</c:v>
                </c:pt>
                <c:pt idx="2">
                  <c:v>49925.801893567907</c:v>
                </c:pt>
                <c:pt idx="3">
                  <c:v>1998.3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0-43FA-9ED9-EE6F778F89E8}"/>
            </c:ext>
          </c:extLst>
        </c:ser>
        <c:ser>
          <c:idx val="3"/>
          <c:order val="3"/>
          <c:tx>
            <c:strRef>
              <c:f>Summary!$K$18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Summary!$L$13:$O$14</c:f>
              <c:multiLvlStrCache>
                <c:ptCount val="4"/>
                <c:lvl>
                  <c:pt idx="0">
                    <c:v>Disposed</c:v>
                  </c:pt>
                  <c:pt idx="1">
                    <c:v>Diverted</c:v>
                  </c:pt>
                  <c:pt idx="2">
                    <c:v>Disposed </c:v>
                  </c:pt>
                  <c:pt idx="3">
                    <c:v>Diverted</c:v>
                  </c:pt>
                </c:lvl>
                <c:lvl>
                  <c:pt idx="0">
                    <c:v>Residential</c:v>
                  </c:pt>
                  <c:pt idx="2">
                    <c:v>Commercial</c:v>
                  </c:pt>
                </c:lvl>
              </c:multiLvlStrCache>
            </c:multiLvlStrRef>
          </c:cat>
          <c:val>
            <c:numRef>
              <c:f>Summary!$L$18:$O$18</c:f>
              <c:numCache>
                <c:formatCode>_(* #,##0_);_(* \(#,##0\);_(* "-"??_);_(@_)</c:formatCode>
                <c:ptCount val="4"/>
                <c:pt idx="0">
                  <c:v>27215.802</c:v>
                </c:pt>
                <c:pt idx="1">
                  <c:v>245573.12000000002</c:v>
                </c:pt>
                <c:pt idx="2">
                  <c:v>48903.119999999995</c:v>
                </c:pt>
                <c:pt idx="3">
                  <c:v>54554.319999999992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70-43FA-9ED9-EE6F778F89E8}"/>
            </c:ext>
          </c:extLst>
        </c:ser>
        <c:ser>
          <c:idx val="4"/>
          <c:order val="4"/>
          <c:tx>
            <c:strRef>
              <c:f>Summary!$K$19</c:f>
              <c:strCache>
                <c:ptCount val="1"/>
                <c:pt idx="0">
                  <c:v>Potentially compostable 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Summary!$L$13:$O$14</c:f>
              <c:multiLvlStrCache>
                <c:ptCount val="4"/>
                <c:lvl>
                  <c:pt idx="0">
                    <c:v>Disposed</c:v>
                  </c:pt>
                  <c:pt idx="1">
                    <c:v>Diverted</c:v>
                  </c:pt>
                  <c:pt idx="2">
                    <c:v>Disposed </c:v>
                  </c:pt>
                  <c:pt idx="3">
                    <c:v>Diverted</c:v>
                  </c:pt>
                </c:lvl>
                <c:lvl>
                  <c:pt idx="0">
                    <c:v>Residential</c:v>
                  </c:pt>
                  <c:pt idx="2">
                    <c:v>Commercial</c:v>
                  </c:pt>
                </c:lvl>
              </c:multiLvlStrCache>
            </c:multiLvlStrRef>
          </c:cat>
          <c:val>
            <c:numRef>
              <c:f>Summary!$L$19:$O$19</c:f>
              <c:numCache>
                <c:formatCode>_(* #,##0_);_(* \(#,##0\);_(* "-"??_);_(@_)</c:formatCode>
                <c:ptCount val="4"/>
                <c:pt idx="0">
                  <c:v>280.90656490235915</c:v>
                </c:pt>
                <c:pt idx="1">
                  <c:v>0</c:v>
                </c:pt>
                <c:pt idx="2">
                  <c:v>3116.0184062728977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5-42AE-936B-943EAD57ECF4}"/>
            </c:ext>
          </c:extLst>
        </c:ser>
        <c:ser>
          <c:idx val="5"/>
          <c:order val="5"/>
          <c:tx>
            <c:strRef>
              <c:f>Summary!$K$20</c:f>
              <c:strCache>
                <c:ptCount val="1"/>
                <c:pt idx="0">
                  <c:v>Yard Waste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Summary!$L$13:$O$14</c:f>
              <c:multiLvlStrCache>
                <c:ptCount val="4"/>
                <c:lvl>
                  <c:pt idx="0">
                    <c:v>Disposed</c:v>
                  </c:pt>
                  <c:pt idx="1">
                    <c:v>Diverted</c:v>
                  </c:pt>
                  <c:pt idx="2">
                    <c:v>Disposed </c:v>
                  </c:pt>
                  <c:pt idx="3">
                    <c:v>Diverted</c:v>
                  </c:pt>
                </c:lvl>
                <c:lvl>
                  <c:pt idx="0">
                    <c:v>Residential</c:v>
                  </c:pt>
                  <c:pt idx="2">
                    <c:v>Commercial</c:v>
                  </c:pt>
                </c:lvl>
              </c:multiLvlStrCache>
            </c:multiLvlStrRef>
          </c:cat>
          <c:val>
            <c:numRef>
              <c:f>Summary!$L$20:$O$20</c:f>
              <c:numCache>
                <c:formatCode>_(* #,##0_);_(* \(#,##0\);_(* "-"??_);_(@_)</c:formatCode>
                <c:ptCount val="4"/>
                <c:pt idx="0">
                  <c:v>12940.76670570159</c:v>
                </c:pt>
                <c:pt idx="1">
                  <c:v>124355.94</c:v>
                </c:pt>
                <c:pt idx="2">
                  <c:v>15927.977367396934</c:v>
                </c:pt>
                <c:pt idx="3">
                  <c:v>45.55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25-42AE-936B-943EAD57E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8519424"/>
        <c:axId val="208739568"/>
      </c:barChart>
      <c:catAx>
        <c:axId val="1385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9568"/>
        <c:crosses val="autoZero"/>
        <c:auto val="1"/>
        <c:lblAlgn val="ctr"/>
        <c:lblOffset val="100"/>
        <c:noMultiLvlLbl val="0"/>
      </c:catAx>
      <c:valAx>
        <c:axId val="20873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19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68511295901096"/>
          <c:y val="8.2344751347567399E-2"/>
          <c:w val="0.79875855724220035"/>
          <c:h val="0.64159405996570162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Summary!$E$37</c:f>
              <c:strCache>
                <c:ptCount val="1"/>
                <c:pt idx="0">
                  <c:v>2019 Total Organics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Summary!$B$38:$B$50</c:f>
              <c:strCache>
                <c:ptCount val="13"/>
                <c:pt idx="0">
                  <c:v>Cupertino</c:v>
                </c:pt>
                <c:pt idx="1">
                  <c:v>Gilroy</c:v>
                </c:pt>
                <c:pt idx="2">
                  <c:v>Los Altos</c:v>
                </c:pt>
                <c:pt idx="3">
                  <c:v>Los Altos Hills</c:v>
                </c:pt>
                <c:pt idx="4">
                  <c:v>Milpitas</c:v>
                </c:pt>
                <c:pt idx="5">
                  <c:v>Morgan Hill</c:v>
                </c:pt>
                <c:pt idx="6">
                  <c:v>Mountain View</c:v>
                </c:pt>
                <c:pt idx="7">
                  <c:v>Palo Alto</c:v>
                </c:pt>
                <c:pt idx="8">
                  <c:v>San Jose</c:v>
                </c:pt>
                <c:pt idx="9">
                  <c:v>Santa Clara</c:v>
                </c:pt>
                <c:pt idx="10">
                  <c:v>Sunnyvale</c:v>
                </c:pt>
                <c:pt idx="11">
                  <c:v>Unincorporated</c:v>
                </c:pt>
                <c:pt idx="12">
                  <c:v>West Valley Cities</c:v>
                </c:pt>
              </c:strCache>
            </c:strRef>
          </c:cat>
          <c:val>
            <c:numRef>
              <c:f>Summary!$E$38:$E$50</c:f>
              <c:numCache>
                <c:formatCode>0%</c:formatCode>
                <c:ptCount val="13"/>
                <c:pt idx="0">
                  <c:v>0.6928087124611233</c:v>
                </c:pt>
                <c:pt idx="1">
                  <c:v>0.45240091245096054</c:v>
                </c:pt>
                <c:pt idx="2">
                  <c:v>0.84471787392751929</c:v>
                </c:pt>
                <c:pt idx="3">
                  <c:v>0.97087171363767844</c:v>
                </c:pt>
                <c:pt idx="4">
                  <c:v>0.3765906866515874</c:v>
                </c:pt>
                <c:pt idx="5">
                  <c:v>0.38590596648878117</c:v>
                </c:pt>
                <c:pt idx="6">
                  <c:v>0.35251994568564854</c:v>
                </c:pt>
                <c:pt idx="7">
                  <c:v>0.73446169698242825</c:v>
                </c:pt>
                <c:pt idx="8">
                  <c:v>0.95194489955318984</c:v>
                </c:pt>
                <c:pt idx="9">
                  <c:v>0.54139829778951587</c:v>
                </c:pt>
                <c:pt idx="10">
                  <c:v>0.35386379894153824</c:v>
                </c:pt>
                <c:pt idx="11">
                  <c:v>0.66984928101748498</c:v>
                </c:pt>
                <c:pt idx="12">
                  <c:v>0.57032054803492893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D0-484C-A88C-86A78D2D0A22}"/>
            </c:ext>
          </c:extLst>
        </c:ser>
        <c:ser>
          <c:idx val="1"/>
          <c:order val="1"/>
          <c:tx>
            <c:strRef>
              <c:f>Summary!$H$37</c:f>
              <c:strCache>
                <c:ptCount val="1"/>
                <c:pt idx="0">
                  <c:v>2021 Total Organics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Summary!$B$38:$B$50</c:f>
              <c:strCache>
                <c:ptCount val="13"/>
                <c:pt idx="0">
                  <c:v>Cupertino</c:v>
                </c:pt>
                <c:pt idx="1">
                  <c:v>Gilroy</c:v>
                </c:pt>
                <c:pt idx="2">
                  <c:v>Los Altos</c:v>
                </c:pt>
                <c:pt idx="3">
                  <c:v>Los Altos Hills</c:v>
                </c:pt>
                <c:pt idx="4">
                  <c:v>Milpitas</c:v>
                </c:pt>
                <c:pt idx="5">
                  <c:v>Morgan Hill</c:v>
                </c:pt>
                <c:pt idx="6">
                  <c:v>Mountain View</c:v>
                </c:pt>
                <c:pt idx="7">
                  <c:v>Palo Alto</c:v>
                </c:pt>
                <c:pt idx="8">
                  <c:v>San Jose</c:v>
                </c:pt>
                <c:pt idx="9">
                  <c:v>Santa Clara</c:v>
                </c:pt>
                <c:pt idx="10">
                  <c:v>Sunnyvale</c:v>
                </c:pt>
                <c:pt idx="11">
                  <c:v>Unincorporated</c:v>
                </c:pt>
                <c:pt idx="12">
                  <c:v>West Valley Cities</c:v>
                </c:pt>
              </c:strCache>
            </c:strRef>
          </c:cat>
          <c:val>
            <c:numRef>
              <c:f>Summary!$H$38:$H$50</c:f>
              <c:numCache>
                <c:formatCode>0%</c:formatCode>
                <c:ptCount val="13"/>
                <c:pt idx="0">
                  <c:v>0.66604316189163792</c:v>
                </c:pt>
                <c:pt idx="1">
                  <c:v>0.42151101203462016</c:v>
                </c:pt>
                <c:pt idx="2">
                  <c:v>0.79367192837850598</c:v>
                </c:pt>
                <c:pt idx="3">
                  <c:v>0.86769397942843174</c:v>
                </c:pt>
                <c:pt idx="4">
                  <c:v>0.367635855174754</c:v>
                </c:pt>
                <c:pt idx="5">
                  <c:v>0.40333871469504939</c:v>
                </c:pt>
                <c:pt idx="6">
                  <c:v>0.30767307521286852</c:v>
                </c:pt>
                <c:pt idx="7">
                  <c:v>0.71675893520466172</c:v>
                </c:pt>
                <c:pt idx="8">
                  <c:v>0.80767600023983488</c:v>
                </c:pt>
                <c:pt idx="9">
                  <c:v>0.47913907284008728</c:v>
                </c:pt>
                <c:pt idx="10">
                  <c:v>0.35488407342952755</c:v>
                </c:pt>
                <c:pt idx="11">
                  <c:v>0.5064425141366159</c:v>
                </c:pt>
                <c:pt idx="12">
                  <c:v>0.56150240131813256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D0-484C-A88C-86A78D2D0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558064"/>
        <c:axId val="464558392"/>
      </c:lineChart>
      <c:catAx>
        <c:axId val="46455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Santa Clara County Cities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58392"/>
        <c:crosses val="autoZero"/>
        <c:auto val="1"/>
        <c:lblAlgn val="ctr"/>
        <c:lblOffset val="100"/>
        <c:noMultiLvlLbl val="0"/>
      </c:catAx>
      <c:valAx>
        <c:axId val="464558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Organics</a:t>
                </a:r>
                <a:r>
                  <a:rPr lang="en-US" baseline="0"/>
                  <a:t> Diversion Rate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5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22178477690284"/>
          <c:y val="9.9191891670980623E-2"/>
          <c:w val="0.20978065241844771"/>
          <c:h val="0.14958550839348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899946554396"/>
          <c:y val="6.1532399351655422E-2"/>
          <c:w val="0.80814910557483299"/>
          <c:h val="0.82577140411235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Summary!$K$39</c:f>
              <c:strCache>
                <c:ptCount val="1"/>
                <c:pt idx="0">
                  <c:v>Residential Organics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25-45F1-9ACF-A2930682BC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25-45F1-9ACF-A2930682BC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C25-45F1-9ACF-A2930682BC0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C25-45F1-9ACF-A2930682BC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Summary!$L$37:$O$38</c:f>
              <c:multiLvlStrCache>
                <c:ptCount val="4"/>
                <c:lvl>
                  <c:pt idx="0">
                    <c:v>Disposed</c:v>
                  </c:pt>
                  <c:pt idx="1">
                    <c:v>Diverted</c:v>
                  </c:pt>
                  <c:pt idx="2">
                    <c:v>Disposed</c:v>
                  </c:pt>
                  <c:pt idx="3">
                    <c:v>Diverted</c:v>
                  </c:pt>
                </c:lvl>
                <c:lvl>
                  <c:pt idx="0">
                    <c:v>2015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Summary!$L$39:$O$39</c:f>
              <c:numCache>
                <c:formatCode>General</c:formatCode>
                <c:ptCount val="4"/>
                <c:pt idx="0">
                  <c:v>123400</c:v>
                </c:pt>
                <c:pt idx="1">
                  <c:v>222100</c:v>
                </c:pt>
                <c:pt idx="2" formatCode="_(* #,##0_);_(* \(#,##0\);_(* &quot;-&quot;??_);_(@_)">
                  <c:v>86988.13602707973</c:v>
                </c:pt>
                <c:pt idx="3" formatCode="_(* #,##0_);_(* \(#,##0\);_(* &quot;-&quot;??_);_(@_)">
                  <c:v>408836.12999999995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5-45F1-9ACF-A2930682BC04}"/>
            </c:ext>
          </c:extLst>
        </c:ser>
        <c:ser>
          <c:idx val="1"/>
          <c:order val="1"/>
          <c:tx>
            <c:strRef>
              <c:f>Summary!$K$40</c:f>
              <c:strCache>
                <c:ptCount val="1"/>
                <c:pt idx="0">
                  <c:v>Commercial Organics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Summary!$L$37:$O$38</c:f>
              <c:multiLvlStrCache>
                <c:ptCount val="4"/>
                <c:lvl>
                  <c:pt idx="0">
                    <c:v>Disposed</c:v>
                  </c:pt>
                  <c:pt idx="1">
                    <c:v>Diverted</c:v>
                  </c:pt>
                  <c:pt idx="2">
                    <c:v>Disposed</c:v>
                  </c:pt>
                  <c:pt idx="3">
                    <c:v>Diverted</c:v>
                  </c:pt>
                </c:lvl>
                <c:lvl>
                  <c:pt idx="0">
                    <c:v>2015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Summary!$L$40:$O$40</c:f>
              <c:numCache>
                <c:formatCode>General</c:formatCode>
                <c:ptCount val="4"/>
                <c:pt idx="0">
                  <c:v>75800</c:v>
                </c:pt>
                <c:pt idx="1">
                  <c:v>129000</c:v>
                </c:pt>
                <c:pt idx="2" formatCode="_(* #,##0_);_(* \(#,##0\);_(* &quot;-&quot;??_);_(@_)">
                  <c:v>155401.88135049323</c:v>
                </c:pt>
                <c:pt idx="3" formatCode="_(* #,##0_);_(* \(#,##0\);_(* &quot;-&quot;??_);_(@_)">
                  <c:v>56851.80999999999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24-497D-AAF9-BE53A7AE1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956280"/>
        <c:axId val="461954640"/>
      </c:barChart>
      <c:catAx>
        <c:axId val="46195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54640"/>
        <c:crosses val="autoZero"/>
        <c:auto val="1"/>
        <c:lblAlgn val="ctr"/>
        <c:lblOffset val="100"/>
        <c:noMultiLvlLbl val="0"/>
      </c:catAx>
      <c:valAx>
        <c:axId val="461954640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5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480292119676469"/>
          <c:y val="0.14505319444775502"/>
          <c:w val="0.48640579802921197"/>
          <c:h val="5.321282149071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4</xdr:row>
      <xdr:rowOff>133350</xdr:rowOff>
    </xdr:from>
    <xdr:to>
      <xdr:col>19</xdr:col>
      <xdr:colOff>415925</xdr:colOff>
      <xdr:row>26</xdr:row>
      <xdr:rowOff>22225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812D40-48AD-40F0-87AB-52D039805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390524</xdr:colOff>
      <xdr:row>53</xdr:row>
      <xdr:rowOff>1587</xdr:rowOff>
    </xdr:from>
    <xdr:to>
      <xdr:col>16</xdr:col>
      <xdr:colOff>546099</xdr:colOff>
      <xdr:row>67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E54BB-504B-4D95-B008-F7C36B25E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341312</xdr:colOff>
      <xdr:row>28</xdr:row>
      <xdr:rowOff>96837</xdr:rowOff>
    </xdr:from>
    <xdr:to>
      <xdr:col>17</xdr:col>
      <xdr:colOff>504825</xdr:colOff>
      <xdr:row>49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0F38F9-B493-4072-9E01-8D6B1C6D5A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01220038.00/Task%203_Capacity%20Study/Organic%20Projections%20SVSWA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Organic Projections"/>
      <sheetName val="Population Projections"/>
      <sheetName val="Overall"/>
      <sheetName val="Residential"/>
      <sheetName val="Commercial"/>
      <sheetName val="Self-haul"/>
      <sheetName val="Salinas"/>
      <sheetName val="Soledad"/>
      <sheetName val="Gonzales"/>
      <sheetName val="Greenfield"/>
      <sheetName val="King City"/>
      <sheetName val="Unincorporated"/>
      <sheetName val="SVSWA 2019"/>
    </sheetNames>
    <sheetDataSet>
      <sheetData sheetId="0"/>
      <sheetData sheetId="1"/>
      <sheetData sheetId="2">
        <row r="15">
          <cell r="C15">
            <v>446539</v>
          </cell>
        </row>
        <row r="16">
          <cell r="C16">
            <v>448732</v>
          </cell>
        </row>
        <row r="17">
          <cell r="C17">
            <v>451008</v>
          </cell>
        </row>
        <row r="18">
          <cell r="C18">
            <v>453448</v>
          </cell>
        </row>
        <row r="19">
          <cell r="C19">
            <v>455863</v>
          </cell>
        </row>
        <row r="20">
          <cell r="C20">
            <v>458496</v>
          </cell>
        </row>
        <row r="21">
          <cell r="C21">
            <v>461159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of.ca.gov/forecasting/demographics/proj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W75"/>
  <sheetViews>
    <sheetView topLeftCell="A40" workbookViewId="0">
      <selection activeCell="G59" sqref="G59"/>
    </sheetView>
  </sheetViews>
  <sheetFormatPr defaultRowHeight="15" x14ac:dyDescent="0.25"/>
  <cols>
    <col min="7" max="8" width="10.42578125" customWidth="1"/>
    <col min="10" max="10" width="10.85546875" customWidth="1"/>
    <col min="13" max="13" width="10.140625" customWidth="1"/>
    <col min="17" max="19" width="10.85546875" customWidth="1"/>
    <col min="22" max="22" width="12.7109375" customWidth="1"/>
  </cols>
  <sheetData>
    <row r="3" spans="2:22" ht="21" x14ac:dyDescent="0.35">
      <c r="B3" s="266" t="s">
        <v>164</v>
      </c>
    </row>
    <row r="4" spans="2:22" x14ac:dyDescent="0.25">
      <c r="B4" s="295" t="s">
        <v>0</v>
      </c>
      <c r="C4" s="296"/>
      <c r="D4" s="296"/>
      <c r="E4" s="296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99" t="s">
        <v>48</v>
      </c>
    </row>
    <row r="5" spans="2:22" ht="54" x14ac:dyDescent="0.25">
      <c r="B5" s="297"/>
      <c r="C5" s="298"/>
      <c r="D5" s="298"/>
      <c r="E5" s="298"/>
      <c r="F5" s="20"/>
      <c r="G5" s="23" t="s">
        <v>36</v>
      </c>
      <c r="H5" s="23" t="s">
        <v>212</v>
      </c>
      <c r="I5" s="23" t="s">
        <v>37</v>
      </c>
      <c r="J5" s="23" t="s">
        <v>38</v>
      </c>
      <c r="K5" s="23" t="s">
        <v>41</v>
      </c>
      <c r="L5" s="23" t="s">
        <v>42</v>
      </c>
      <c r="M5" s="23" t="s">
        <v>43</v>
      </c>
      <c r="N5" s="23" t="s">
        <v>44</v>
      </c>
      <c r="O5" s="23" t="s">
        <v>45</v>
      </c>
      <c r="P5" s="23" t="s">
        <v>46</v>
      </c>
      <c r="Q5" s="23" t="s">
        <v>47</v>
      </c>
      <c r="R5" s="23" t="s">
        <v>39</v>
      </c>
      <c r="S5" s="23" t="s">
        <v>250</v>
      </c>
      <c r="T5" s="299"/>
      <c r="V5" s="56" t="s">
        <v>163</v>
      </c>
    </row>
    <row r="6" spans="2:22" x14ac:dyDescent="0.25">
      <c r="B6" s="300" t="s">
        <v>245</v>
      </c>
      <c r="C6" s="301"/>
      <c r="D6" s="301"/>
      <c r="E6" s="30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V6" t="s">
        <v>23</v>
      </c>
    </row>
    <row r="7" spans="2:22" ht="15" customHeight="1" x14ac:dyDescent="0.25">
      <c r="B7" s="4"/>
      <c r="C7" s="6" t="s">
        <v>168</v>
      </c>
      <c r="D7" s="6"/>
      <c r="E7" s="6"/>
      <c r="F7" s="7"/>
      <c r="G7" s="11">
        <f>7453.62+2749.68</f>
        <v>10203.299999999999</v>
      </c>
      <c r="H7" s="11">
        <v>10908</v>
      </c>
      <c r="I7" s="11">
        <v>4392.7299999999996</v>
      </c>
      <c r="J7" s="114">
        <v>723.7</v>
      </c>
      <c r="K7" s="11">
        <v>9031.0300000000007</v>
      </c>
      <c r="L7" s="11">
        <v>10174</v>
      </c>
      <c r="M7" s="11">
        <v>15362</v>
      </c>
      <c r="N7" s="11">
        <v>7072</v>
      </c>
      <c r="O7" s="11">
        <f>67615+3185</f>
        <v>70800</v>
      </c>
      <c r="P7" s="11">
        <v>15101.8</v>
      </c>
      <c r="Q7" s="11">
        <v>19798</v>
      </c>
      <c r="R7" s="11">
        <v>12967.21</v>
      </c>
      <c r="S7" s="12">
        <v>20856</v>
      </c>
      <c r="T7" s="12">
        <f t="shared" ref="T7:T12" si="0">SUM(G7:S7)</f>
        <v>207389.77</v>
      </c>
      <c r="V7" t="s">
        <v>25</v>
      </c>
    </row>
    <row r="8" spans="2:22" ht="16.5" x14ac:dyDescent="0.3">
      <c r="B8" s="4"/>
      <c r="C8" s="5"/>
      <c r="D8" s="19" t="s">
        <v>6</v>
      </c>
      <c r="E8" s="6"/>
      <c r="F8" s="7"/>
      <c r="G8" s="8">
        <f>G7*'CalRecycle 2018- Edited'!$J$69</f>
        <v>854.71288361550057</v>
      </c>
      <c r="H8" s="8">
        <f>H7*'CalRecycle 2018- Edited'!$J$69</f>
        <v>913.74438999910626</v>
      </c>
      <c r="I8" s="8">
        <f>I7*'CalRecycle 2018- Edited'!$J$69</f>
        <v>367.97143328573281</v>
      </c>
      <c r="J8" s="8"/>
      <c r="K8" s="8">
        <f>K7*'CalRecycle 2018- Edited'!$J$69</f>
        <v>756.51384290553995</v>
      </c>
      <c r="L8" s="8">
        <f>L7*'CalRecycle 2018- Edited'!$J$69</f>
        <v>852.25847303363651</v>
      </c>
      <c r="M8" s="8">
        <f>M7*'CalRecycle 2018- Edited'!$J$69</f>
        <v>1286.8483057541503</v>
      </c>
      <c r="N8" s="8">
        <f>N7*'CalRecycle 2018- Edited'!$J$69</f>
        <v>592.40927081716904</v>
      </c>
      <c r="O8" s="8"/>
      <c r="P8" s="8">
        <f>P7*'CalRecycle 2018- Edited'!$J$69</f>
        <v>1265.0517994947288</v>
      </c>
      <c r="Q8" s="8">
        <f>Q7*'CalRecycle 2018- Edited'!$J$69</f>
        <v>1658.4443924827929</v>
      </c>
      <c r="R8" s="8">
        <f>R7*'CalRecycle 2018- Edited'!$J$69</f>
        <v>1086.240868302192</v>
      </c>
      <c r="S8" s="8">
        <f>S7*'CalRecycle 2018- Edited'!$J$69</f>
        <v>1747.0712319234838</v>
      </c>
      <c r="T8" s="9">
        <f t="shared" si="0"/>
        <v>11381.266891614034</v>
      </c>
      <c r="V8" t="s">
        <v>26</v>
      </c>
    </row>
    <row r="9" spans="2:22" ht="16.5" x14ac:dyDescent="0.3">
      <c r="B9" s="4"/>
      <c r="C9" s="5"/>
      <c r="D9" s="19" t="s">
        <v>3</v>
      </c>
      <c r="E9" s="6"/>
      <c r="F9" s="7"/>
      <c r="G9" s="8">
        <f>G7*'CalRecycle 2018- Edited'!$J$60</f>
        <v>2035.8292462711265</v>
      </c>
      <c r="H9" s="8">
        <f>H7*'CalRecycle 2018- Edited'!$J$60</f>
        <v>2176.435605963311</v>
      </c>
      <c r="I9" s="8">
        <f>I7*'CalRecycle 2018- Edited'!$J$60</f>
        <v>876.46626140293483</v>
      </c>
      <c r="J9" s="8"/>
      <c r="K9" s="8">
        <f>K7*'CalRecycle 2018- Edited'!$J$60</f>
        <v>1801.930257657026</v>
      </c>
      <c r="L9" s="8">
        <f>L7*'CalRecycle 2018- Edited'!$J$60</f>
        <v>2029.9831183599858</v>
      </c>
      <c r="M9" s="8">
        <f>M7*'CalRecycle 2018- Edited'!$J$60</f>
        <v>3065.1268590766758</v>
      </c>
      <c r="N9" s="8">
        <f>N7*'CalRecycle 2018- Edited'!$J$60</f>
        <v>1411.0517606685492</v>
      </c>
      <c r="O9" s="8"/>
      <c r="P9" s="8">
        <f>P7*'CalRecycle 2018- Edited'!$J$60</f>
        <v>3013.2100508009466</v>
      </c>
      <c r="Q9" s="8">
        <f>Q7*'CalRecycle 2018- Edited'!$J$60</f>
        <v>3950.2266342924117</v>
      </c>
      <c r="R9" s="8">
        <f>R7*'CalRecycle 2018- Edited'!$J$60</f>
        <v>2587.3026727175929</v>
      </c>
      <c r="S9" s="8">
        <f>S7*'CalRecycle 2018- Edited'!$J$60</f>
        <v>4161.3257240530629</v>
      </c>
      <c r="T9" s="9">
        <f t="shared" si="0"/>
        <v>27108.888191263624</v>
      </c>
      <c r="V9" t="s">
        <v>28</v>
      </c>
    </row>
    <row r="10" spans="2:22" ht="16.5" x14ac:dyDescent="0.3">
      <c r="B10" s="4"/>
      <c r="C10" s="5"/>
      <c r="D10" s="19" t="s">
        <v>7</v>
      </c>
      <c r="E10" s="6"/>
      <c r="F10" s="7"/>
      <c r="G10" s="8">
        <f>G7*'CalRecycle 2018- Edited'!$J$16</f>
        <v>817.26874825796972</v>
      </c>
      <c r="H10" s="8">
        <f>H7*'CalRecycle 2018- Edited'!$J$16</f>
        <v>873.71414209108173</v>
      </c>
      <c r="I10" s="8">
        <f>I7*'CalRecycle 2018- Edited'!$J$16</f>
        <v>351.85096474035174</v>
      </c>
      <c r="J10" s="8"/>
      <c r="K10" s="8">
        <f>K7*'CalRecycle 2018- Edited'!$J$16</f>
        <v>723.37171146395508</v>
      </c>
      <c r="L10" s="8">
        <f>L7*'CalRecycle 2018- Edited'!$J$16</f>
        <v>814.92186300281128</v>
      </c>
      <c r="M10" s="8">
        <f>M7*'CalRecycle 2018- Edited'!$J$16</f>
        <v>1230.4727402643196</v>
      </c>
      <c r="N10" s="8">
        <f>N7*'CalRecycle 2018- Edited'!$J$16</f>
        <v>566.45640015292724</v>
      </c>
      <c r="O10" s="8"/>
      <c r="P10" s="8">
        <f>P7*'CalRecycle 2018- Edited'!$J$16</f>
        <v>1209.6311176229462</v>
      </c>
      <c r="Q10" s="8">
        <f>Q7*'CalRecycle 2018- Edited'!$J$16</f>
        <v>1585.7895659258559</v>
      </c>
      <c r="R10" s="8">
        <f>R7*'CalRecycle 2018- Edited'!$J$16</f>
        <v>1038.6537184144568</v>
      </c>
      <c r="S10" s="8">
        <f>S7*'CalRecycle 2018- Edited'!$J$16</f>
        <v>1670.5337502247526</v>
      </c>
      <c r="T10" s="9">
        <f t="shared" si="0"/>
        <v>10882.664722161428</v>
      </c>
      <c r="V10" t="s">
        <v>24</v>
      </c>
    </row>
    <row r="11" spans="2:22" ht="16.5" x14ac:dyDescent="0.3">
      <c r="B11" s="4"/>
      <c r="C11" s="5"/>
      <c r="D11" s="19" t="s">
        <v>8</v>
      </c>
      <c r="E11" s="6"/>
      <c r="F11" s="7"/>
      <c r="G11" s="8">
        <f>G7*'CalRecycle 2018- Edited'!$J$74</f>
        <v>221.48409123281925</v>
      </c>
      <c r="H11" s="8">
        <f>H7*'CalRecycle 2018- Edited'!$J$74</f>
        <v>236.78108721370464</v>
      </c>
      <c r="I11" s="8">
        <f>I7*'CalRecycle 2018- Edited'!$J$74</f>
        <v>95.353445657889324</v>
      </c>
      <c r="J11" s="8"/>
      <c r="K11" s="8">
        <f>K7*'CalRecycle 2018- Edited'!$J$74</f>
        <v>196.03750477260573</v>
      </c>
      <c r="L11" s="8">
        <f>L7*'CalRecycle 2018- Edited'!$J$74</f>
        <v>220.84807309426395</v>
      </c>
      <c r="M11" s="8">
        <f>M7*'CalRecycle 2018- Edited'!$J$74</f>
        <v>333.46452711559687</v>
      </c>
      <c r="N11" s="8">
        <f>N7*'CalRecycle 2018- Edited'!$J$74</f>
        <v>153.51263740147775</v>
      </c>
      <c r="O11" s="8"/>
      <c r="P11" s="8">
        <f>P7*'CalRecycle 2018- Edited'!$J$74</f>
        <v>327.81633873156625</v>
      </c>
      <c r="Q11" s="8">
        <f>Q7*'CalRecycle 2018- Edited'!$J$74</f>
        <v>429.75723915079982</v>
      </c>
      <c r="R11" s="8">
        <f>R7*'CalRecycle 2018- Edited'!$J$74</f>
        <v>281.48057223399547</v>
      </c>
      <c r="S11" s="8">
        <f>S7*'CalRecycle 2018- Edited'!$J$74</f>
        <v>452.7233548706476</v>
      </c>
      <c r="T11" s="9">
        <f t="shared" si="0"/>
        <v>2949.258871475367</v>
      </c>
      <c r="V11" t="s">
        <v>30</v>
      </c>
    </row>
    <row r="12" spans="2:22" ht="16.5" x14ac:dyDescent="0.3">
      <c r="B12" s="4"/>
      <c r="C12" s="5"/>
      <c r="D12" s="60" t="s">
        <v>9</v>
      </c>
      <c r="E12" s="6"/>
      <c r="F12" s="7"/>
      <c r="G12" s="8">
        <f>G8*'CalRecycle 2018- Edited'!$J$74</f>
        <v>18.553341202607154</v>
      </c>
      <c r="H12" s="8">
        <f>H8*'CalRecycle 2018- Edited'!$J$74</f>
        <v>19.834744233536096</v>
      </c>
      <c r="I12" s="8">
        <f>I8*'CalRecycle 2018- Edited'!$J$74</f>
        <v>7.9875940627962052</v>
      </c>
      <c r="J12" s="8"/>
      <c r="K12" s="8">
        <f>K8*'CalRecycle 2018- Edited'!$J$74</f>
        <v>16.421724442188442</v>
      </c>
      <c r="L12" s="8">
        <f>L8*'CalRecycle 2018- Edited'!$J$74</f>
        <v>18.500063057572078</v>
      </c>
      <c r="M12" s="8">
        <f>M8*'CalRecycle 2018- Edited'!$J$74</f>
        <v>27.933749625557528</v>
      </c>
      <c r="N12" s="8">
        <f>N8*'CalRecycle 2018- Edited'!$J$74</f>
        <v>12.859489477408074</v>
      </c>
      <c r="O12" s="8"/>
      <c r="P12" s="8">
        <f>P8*'CalRecycle 2018- Edited'!$J$74</f>
        <v>27.460610603778456</v>
      </c>
      <c r="Q12" s="8">
        <f>Q8*'CalRecycle 2018- Edited'!$J$74</f>
        <v>36.000024416533513</v>
      </c>
      <c r="R12" s="8">
        <f>R8*'CalRecycle 2018- Edited'!$J$74</f>
        <v>23.579143176801576</v>
      </c>
      <c r="S12" s="8">
        <f>S8*'CalRecycle 2018- Edited'!$J$74</f>
        <v>37.923856411315441</v>
      </c>
      <c r="T12" s="179">
        <f t="shared" si="0"/>
        <v>247.05434071009455</v>
      </c>
      <c r="V12" t="s">
        <v>31</v>
      </c>
    </row>
    <row r="13" spans="2:22" ht="16.5" x14ac:dyDescent="0.3">
      <c r="B13" s="96"/>
      <c r="C13" s="85"/>
      <c r="D13" s="86"/>
      <c r="E13" s="97" t="s">
        <v>174</v>
      </c>
      <c r="F13" s="98"/>
      <c r="G13" s="99">
        <f t="shared" ref="G13:Q13" si="1">SUM(G8:G12)</f>
        <v>3947.8483105800233</v>
      </c>
      <c r="H13" s="99">
        <f t="shared" ref="H13" si="2">SUM(H8:H12)</f>
        <v>4220.5099695007393</v>
      </c>
      <c r="I13" s="99">
        <f t="shared" si="1"/>
        <v>1699.6296991497049</v>
      </c>
      <c r="J13" s="99">
        <f>J7*0.23</f>
        <v>166.45100000000002</v>
      </c>
      <c r="K13" s="99">
        <f t="shared" si="1"/>
        <v>3494.2750412413147</v>
      </c>
      <c r="L13" s="99">
        <f t="shared" si="1"/>
        <v>3936.5115905482694</v>
      </c>
      <c r="M13" s="99">
        <f t="shared" si="1"/>
        <v>5943.8461818363003</v>
      </c>
      <c r="N13" s="99">
        <f t="shared" si="1"/>
        <v>2736.2895585175311</v>
      </c>
      <c r="O13" s="99">
        <f>O7*0.23</f>
        <v>16284</v>
      </c>
      <c r="P13" s="99">
        <f t="shared" si="1"/>
        <v>5843.1699172539666</v>
      </c>
      <c r="Q13" s="99">
        <f t="shared" si="1"/>
        <v>7660.2178562683939</v>
      </c>
      <c r="R13" s="99">
        <f>SUM(R8:R12)</f>
        <v>5017.2569748450387</v>
      </c>
      <c r="S13" s="99">
        <f>SUM(S8:S12)</f>
        <v>8069.5779174832624</v>
      </c>
      <c r="T13" s="100">
        <f t="shared" ref="T13:T21" si="3">SUM(G13:S13)</f>
        <v>69019.584017224537</v>
      </c>
      <c r="V13" t="s">
        <v>32</v>
      </c>
    </row>
    <row r="14" spans="2:22" x14ac:dyDescent="0.25">
      <c r="B14" s="4"/>
      <c r="C14" s="6" t="s">
        <v>176</v>
      </c>
      <c r="D14" s="6"/>
      <c r="E14" s="6"/>
      <c r="F14" s="7"/>
      <c r="G14" s="11">
        <v>5531.65</v>
      </c>
      <c r="H14" s="11">
        <v>12481</v>
      </c>
      <c r="I14" s="11">
        <v>2226.62</v>
      </c>
      <c r="J14" s="265" t="s">
        <v>236</v>
      </c>
      <c r="K14" s="11">
        <v>33416.42</v>
      </c>
      <c r="L14" s="11">
        <v>10042</v>
      </c>
      <c r="M14" s="11">
        <v>30675</v>
      </c>
      <c r="N14" s="11">
        <v>19602</v>
      </c>
      <c r="O14" s="11">
        <v>33150</v>
      </c>
      <c r="P14" s="11">
        <v>17683.060000000001</v>
      </c>
      <c r="Q14" s="11">
        <v>78417</v>
      </c>
      <c r="R14" s="11">
        <v>6192.54</v>
      </c>
      <c r="S14" s="12">
        <v>26939</v>
      </c>
      <c r="T14" s="12">
        <f t="shared" si="3"/>
        <v>276356.29000000004</v>
      </c>
      <c r="V14" t="s">
        <v>33</v>
      </c>
    </row>
    <row r="15" spans="2:22" ht="16.5" x14ac:dyDescent="0.3">
      <c r="B15" s="4"/>
      <c r="C15" s="5"/>
      <c r="D15" s="19" t="s">
        <v>6</v>
      </c>
      <c r="E15" s="6"/>
      <c r="F15" s="7"/>
      <c r="G15" s="8">
        <f>G14*'CalRecycle 2018- Edited'!$P$69</f>
        <v>353.24165628264353</v>
      </c>
      <c r="H15" s="8">
        <f>H14*'CalRecycle 2018- Edited'!$P$69</f>
        <v>797.0151965622689</v>
      </c>
      <c r="I15" s="8">
        <f>I14*'CalRecycle 2018- Edited'!$P$69</f>
        <v>142.18812410619975</v>
      </c>
      <c r="J15" s="8"/>
      <c r="K15" s="8">
        <f>K14*'CalRecycle 2018- Edited'!$P$69</f>
        <v>2133.9151153519215</v>
      </c>
      <c r="L15" s="8">
        <f>L14*'CalRecycle 2018- Edited'!$P$69</f>
        <v>641.26485088360744</v>
      </c>
      <c r="M15" s="8">
        <f>M14*'CalRecycle 2018- Edited'!$P$69</f>
        <v>1958.8527485415909</v>
      </c>
      <c r="N15" s="8">
        <f>N14*'CalRecycle 2018- Edited'!$P$69</f>
        <v>1251.7500106572866</v>
      </c>
      <c r="O15" s="8"/>
      <c r="P15" s="8">
        <f>P14*'CalRecycle 2018- Edited'!$P$69</f>
        <v>1129.2098022371922</v>
      </c>
      <c r="Q15" s="8">
        <f>Q14*'CalRecycle 2018- Edited'!$P$69</f>
        <v>5007.5747671519457</v>
      </c>
      <c r="R15" s="8">
        <f>R14*'CalRecycle 2018- Edited'!$P$69</f>
        <v>395.44495515741625</v>
      </c>
      <c r="S15" s="8">
        <f>S14*'CalRecycle 2018- Edited'!$P$69</f>
        <v>1720.2782132994921</v>
      </c>
      <c r="T15" s="9">
        <f t="shared" si="3"/>
        <v>15530.735440231565</v>
      </c>
      <c r="V15" t="s">
        <v>35</v>
      </c>
    </row>
    <row r="16" spans="2:22" ht="16.5" x14ac:dyDescent="0.3">
      <c r="B16" s="4"/>
      <c r="C16" s="5"/>
      <c r="D16" s="19" t="s">
        <v>3</v>
      </c>
      <c r="E16" s="6"/>
      <c r="F16" s="7"/>
      <c r="G16" s="8">
        <f>G14*'CalRecycle 2018- Edited'!$P$60</f>
        <v>1107.2261433659514</v>
      </c>
      <c r="H16" s="8">
        <f>H14*'CalRecycle 2018- Edited'!$P$60</f>
        <v>2498.2219582494263</v>
      </c>
      <c r="I16" s="8">
        <f>I14*'CalRecycle 2018- Edited'!$P$60</f>
        <v>445.68471890692553</v>
      </c>
      <c r="J16" s="8"/>
      <c r="K16" s="8">
        <f>K14*'CalRecycle 2018- Edited'!$P$60</f>
        <v>6688.6975570936056</v>
      </c>
      <c r="L16" s="8">
        <f>L14*'CalRecycle 2018- Edited'!$P$60</f>
        <v>2010.026833165671</v>
      </c>
      <c r="M16" s="8">
        <f>M14*'CalRecycle 2018- Edited'!$P$60</f>
        <v>6139.969439091511</v>
      </c>
      <c r="N16" s="8">
        <f>N14*'CalRecycle 2018- Edited'!$P$60</f>
        <v>3923.5755809314364</v>
      </c>
      <c r="O16" s="8"/>
      <c r="P16" s="8">
        <f>P14*'CalRecycle 2018- Edited'!$P$60</f>
        <v>3539.4767070781272</v>
      </c>
      <c r="Q16" s="8">
        <f>Q14*'CalRecycle 2018- Edited'!$P$60</f>
        <v>15696.103781751885</v>
      </c>
      <c r="R16" s="8">
        <f>R14*'CalRecycle 2018- Edited'!$P$60</f>
        <v>1239.5112094654196</v>
      </c>
      <c r="S16" s="8">
        <f>S14*'CalRecycle 2018- Edited'!$P$60</f>
        <v>5392.1641962407903</v>
      </c>
      <c r="T16" s="9">
        <f t="shared" si="3"/>
        <v>48680.658125340749</v>
      </c>
      <c r="V16" t="s">
        <v>40</v>
      </c>
    </row>
    <row r="17" spans="2:23" ht="16.5" x14ac:dyDescent="0.3">
      <c r="B17" s="4"/>
      <c r="C17" s="5"/>
      <c r="D17" s="19" t="s">
        <v>7</v>
      </c>
      <c r="E17" s="6"/>
      <c r="F17" s="7"/>
      <c r="G17" s="8">
        <f>G14*'CalRecycle 2018- Edited'!$P$16</f>
        <v>395.47238720977413</v>
      </c>
      <c r="H17" s="8">
        <f>H14*'CalRecycle 2018- Edited'!$P$16</f>
        <v>892.29992222306021</v>
      </c>
      <c r="I17" s="8">
        <f>I14*'CalRecycle 2018- Edited'!$P$16</f>
        <v>159.18699245415513</v>
      </c>
      <c r="J17" s="8"/>
      <c r="K17" s="8">
        <f>K14*'CalRecycle 2018- Edited'!$P$16</f>
        <v>2389.0288411964675</v>
      </c>
      <c r="L17" s="8">
        <f>L14*'CalRecycle 2018- Edited'!$P$16</f>
        <v>717.92931808060018</v>
      </c>
      <c r="M17" s="8">
        <f>M14*'CalRecycle 2018- Edited'!$P$16</f>
        <v>2193.0374260229446</v>
      </c>
      <c r="N17" s="8">
        <f>N14*'CalRecycle 2018- Edited'!$P$16</f>
        <v>1401.3991727759335</v>
      </c>
      <c r="O17" s="8"/>
      <c r="P17" s="8">
        <f>P14*'CalRecycle 2018- Edited'!$P$16</f>
        <v>1264.2090427582491</v>
      </c>
      <c r="Q17" s="8">
        <f>Q14*'CalRecycle 2018- Edited'!$P$16</f>
        <v>5606.2401250673593</v>
      </c>
      <c r="R17" s="8">
        <f>R14*'CalRecycle 2018- Edited'!$P$16</f>
        <v>442.72117301203343</v>
      </c>
      <c r="S17" s="8">
        <f>S14*'CalRecycle 2018- Edited'!$P$16</f>
        <v>1925.9408384558144</v>
      </c>
      <c r="T17" s="9">
        <f t="shared" si="3"/>
        <v>17387.465239256395</v>
      </c>
      <c r="V17" t="s">
        <v>200</v>
      </c>
    </row>
    <row r="18" spans="2:23" ht="16.5" x14ac:dyDescent="0.3">
      <c r="B18" s="4"/>
      <c r="C18" s="5"/>
      <c r="D18" s="19" t="s">
        <v>8</v>
      </c>
      <c r="E18" s="6"/>
      <c r="F18" s="7"/>
      <c r="G18" s="8">
        <f>G14*'CalRecycle 2018- Edited'!$P$74</f>
        <v>436.82370313875606</v>
      </c>
      <c r="H18" s="8">
        <f>H14*'CalRecycle 2018- Edited'!$P$74</f>
        <v>985.60043366352079</v>
      </c>
      <c r="I18" s="8">
        <f>I14*'CalRecycle 2018- Edited'!$P$74</f>
        <v>175.83187545900719</v>
      </c>
      <c r="J18" s="8"/>
      <c r="K18" s="8">
        <f>K14*'CalRecycle 2018- Edited'!$P$74</f>
        <v>2638.8300651776581</v>
      </c>
      <c r="L18" s="8">
        <f>L14*'CalRecycle 2018- Edited'!$P$74</f>
        <v>792.9973203148046</v>
      </c>
      <c r="M18" s="8">
        <f>M14*'CalRecycle 2018- Edited'!$P$74</f>
        <v>2422.3454292627594</v>
      </c>
      <c r="N18" s="8">
        <f>N14*'CalRecycle 2018- Edited'!$P$74</f>
        <v>1547.9320327435571</v>
      </c>
      <c r="O18" s="8"/>
      <c r="P18" s="8">
        <f>P14*'CalRecycle 2018- Edited'!$P$74</f>
        <v>1396.3970518787005</v>
      </c>
      <c r="Q18" s="8">
        <f>Q14*'CalRecycle 2018- Edited'!$P$74</f>
        <v>6192.438843569611</v>
      </c>
      <c r="R18" s="8">
        <f>R14*'CalRecycle 2018- Edited'!$P$74</f>
        <v>489.01290837903207</v>
      </c>
      <c r="S18" s="8">
        <f>S14*'CalRecycle 2018- Edited'!$P$74</f>
        <v>2127.3207341127786</v>
      </c>
      <c r="T18" s="9">
        <f t="shared" si="3"/>
        <v>19205.530397700182</v>
      </c>
      <c r="W18" t="s">
        <v>22</v>
      </c>
    </row>
    <row r="19" spans="2:23" ht="16.5" x14ac:dyDescent="0.3">
      <c r="B19" s="4"/>
      <c r="C19" s="5"/>
      <c r="D19" s="60" t="s">
        <v>9</v>
      </c>
      <c r="E19" s="58"/>
      <c r="F19" s="7"/>
      <c r="G19" s="8">
        <f>G14*'CalRecycle 2018- Edited'!$P$103</f>
        <v>69.105290486668181</v>
      </c>
      <c r="H19" s="8">
        <f>H14*'CalRecycle 2018- Edited'!$P$103</f>
        <v>155.92149368888229</v>
      </c>
      <c r="I19" s="8">
        <f>I14*'CalRecycle 2018- Edited'!$P$103</f>
        <v>27.816514404097354</v>
      </c>
      <c r="J19" s="8"/>
      <c r="K19" s="8">
        <f>K14*'CalRecycle 2018- Edited'!$P$103</f>
        <v>417.46159122947199</v>
      </c>
      <c r="L19" s="8">
        <f>L14*'CalRecycle 2018- Edited'!$P$103</f>
        <v>125.45177787226632</v>
      </c>
      <c r="M19" s="8">
        <f>M14*'CalRecycle 2018- Edited'!$P$103</f>
        <v>383.21383053493025</v>
      </c>
      <c r="N19" s="8">
        <f>N14*'CalRecycle 2018- Edited'!$P$103</f>
        <v>244.88207028999844</v>
      </c>
      <c r="O19" s="8"/>
      <c r="P19" s="8">
        <f>P14*'CalRecycle 2018- Edited'!$P$103</f>
        <v>220.90931241007348</v>
      </c>
      <c r="Q19" s="8">
        <f>Q14*'CalRecycle 2018- Edited'!$P$103</f>
        <v>979.64071553570091</v>
      </c>
      <c r="R19" s="8">
        <f>R14*'CalRecycle 2018- Edited'!$P$103</f>
        <v>77.361596549006578</v>
      </c>
      <c r="S19" s="8">
        <f>S14*'CalRecycle 2018- Edited'!$P$103</f>
        <v>336.54107190808429</v>
      </c>
      <c r="T19" s="9">
        <f t="shared" si="3"/>
        <v>3038.3052649091801</v>
      </c>
      <c r="W19" t="s">
        <v>27</v>
      </c>
    </row>
    <row r="20" spans="2:23" ht="16.5" x14ac:dyDescent="0.3">
      <c r="B20" s="101"/>
      <c r="C20" s="85"/>
      <c r="D20" s="91"/>
      <c r="E20" s="97" t="s">
        <v>175</v>
      </c>
      <c r="F20" s="98"/>
      <c r="G20" s="99">
        <f t="shared" ref="G20:Q20" si="4">SUM(G15:G19)</f>
        <v>2361.8691804837936</v>
      </c>
      <c r="H20" s="99">
        <f t="shared" ref="H20" si="5">SUM(H15:H19)</f>
        <v>5329.059004387158</v>
      </c>
      <c r="I20" s="99">
        <f t="shared" si="4"/>
        <v>950.70822533038495</v>
      </c>
      <c r="J20" s="99"/>
      <c r="K20" s="99">
        <f t="shared" si="4"/>
        <v>14267.933170049128</v>
      </c>
      <c r="L20" s="99">
        <f t="shared" si="4"/>
        <v>4287.6701003169501</v>
      </c>
      <c r="M20" s="99">
        <f t="shared" si="4"/>
        <v>13097.418873453737</v>
      </c>
      <c r="N20" s="99">
        <f t="shared" si="4"/>
        <v>8369.5388673982125</v>
      </c>
      <c r="O20" s="99">
        <f>O14*0.06</f>
        <v>1989</v>
      </c>
      <c r="P20" s="99">
        <f t="shared" si="4"/>
        <v>7550.2019163623418</v>
      </c>
      <c r="Q20" s="99">
        <f t="shared" si="4"/>
        <v>33481.998233076498</v>
      </c>
      <c r="R20" s="99">
        <f>SUM(R15:R19)</f>
        <v>2644.051842562908</v>
      </c>
      <c r="S20" s="99">
        <f>SUM(S15:S19)</f>
        <v>11502.245054016959</v>
      </c>
      <c r="T20" s="100">
        <f t="shared" si="3"/>
        <v>105831.69446743806</v>
      </c>
      <c r="W20" t="s">
        <v>29</v>
      </c>
    </row>
    <row r="21" spans="2:23" ht="16.5" x14ac:dyDescent="0.3">
      <c r="B21" s="4"/>
      <c r="C21" s="92" t="s">
        <v>188</v>
      </c>
      <c r="D21" s="86"/>
      <c r="E21" s="93"/>
      <c r="F21" s="88"/>
      <c r="G21" s="89">
        <f>G13+G20</f>
        <v>6309.7174910638169</v>
      </c>
      <c r="H21" s="89">
        <f>H13+H20</f>
        <v>9549.5689738878973</v>
      </c>
      <c r="I21" s="89">
        <f t="shared" ref="I21:S21" si="6">I13+I20</f>
        <v>2650.3379244800899</v>
      </c>
      <c r="J21" s="123">
        <f>J13</f>
        <v>166.45100000000002</v>
      </c>
      <c r="K21" s="89">
        <f t="shared" si="6"/>
        <v>17762.208211290443</v>
      </c>
      <c r="L21" s="89">
        <f t="shared" si="6"/>
        <v>8224.1816908652199</v>
      </c>
      <c r="M21" s="89">
        <f t="shared" si="6"/>
        <v>19041.265055290038</v>
      </c>
      <c r="N21" s="89">
        <f t="shared" si="6"/>
        <v>11105.828425915744</v>
      </c>
      <c r="O21" s="89">
        <f>O13+O20</f>
        <v>18273</v>
      </c>
      <c r="P21" s="89">
        <f t="shared" si="6"/>
        <v>13393.371833616307</v>
      </c>
      <c r="Q21" s="89">
        <f t="shared" si="6"/>
        <v>41142.216089344889</v>
      </c>
      <c r="R21" s="89">
        <f t="shared" si="6"/>
        <v>7661.3088174079467</v>
      </c>
      <c r="S21" s="89">
        <f t="shared" si="6"/>
        <v>19571.822971500224</v>
      </c>
      <c r="T21" s="90">
        <f t="shared" si="3"/>
        <v>174851.27848466262</v>
      </c>
      <c r="W21" t="s">
        <v>34</v>
      </c>
    </row>
    <row r="22" spans="2:23" ht="16.5" x14ac:dyDescent="0.3">
      <c r="B22" s="4"/>
      <c r="C22" s="6"/>
      <c r="D22" s="6" t="s">
        <v>171</v>
      </c>
      <c r="E22" s="10"/>
      <c r="F22" s="7"/>
      <c r="G22" s="11">
        <f>G7+G14</f>
        <v>15734.949999999999</v>
      </c>
      <c r="H22" s="11">
        <f>H7+H14</f>
        <v>23389</v>
      </c>
      <c r="I22" s="11">
        <f t="shared" ref="I22:S22" si="7">I7+I14</f>
        <v>6619.3499999999995</v>
      </c>
      <c r="J22" s="11">
        <v>723.7</v>
      </c>
      <c r="K22" s="11">
        <f t="shared" si="7"/>
        <v>42447.45</v>
      </c>
      <c r="L22" s="11">
        <f t="shared" si="7"/>
        <v>20216</v>
      </c>
      <c r="M22" s="11">
        <f t="shared" si="7"/>
        <v>46037</v>
      </c>
      <c r="N22" s="11">
        <f t="shared" si="7"/>
        <v>26674</v>
      </c>
      <c r="O22" s="11">
        <f t="shared" si="7"/>
        <v>103950</v>
      </c>
      <c r="P22" s="11">
        <f t="shared" si="7"/>
        <v>32784.86</v>
      </c>
      <c r="Q22" s="11">
        <f t="shared" si="7"/>
        <v>98215</v>
      </c>
      <c r="R22" s="11">
        <f t="shared" si="7"/>
        <v>19159.75</v>
      </c>
      <c r="S22" s="11">
        <f t="shared" si="7"/>
        <v>47795</v>
      </c>
      <c r="T22" s="12">
        <f>T7+T14</f>
        <v>483746.06000000006</v>
      </c>
    </row>
    <row r="23" spans="2:23" ht="16.5" x14ac:dyDescent="0.3">
      <c r="B23" s="13" t="s">
        <v>246</v>
      </c>
      <c r="C23" s="14"/>
      <c r="D23" s="14"/>
      <c r="E23" s="14"/>
      <c r="F23" s="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</row>
    <row r="24" spans="2:23" x14ac:dyDescent="0.25">
      <c r="B24" s="4"/>
      <c r="C24" s="6" t="s">
        <v>166</v>
      </c>
      <c r="D24" s="6"/>
      <c r="E24" s="6"/>
      <c r="F24" s="7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5"/>
    </row>
    <row r="25" spans="2:23" ht="16.5" x14ac:dyDescent="0.3">
      <c r="B25" s="4"/>
      <c r="C25" s="6"/>
      <c r="D25" s="5" t="s">
        <v>216</v>
      </c>
      <c r="E25" s="6"/>
      <c r="F25" s="7"/>
      <c r="G25" s="138">
        <f>7207.44+107.04</f>
        <v>7314.48</v>
      </c>
      <c r="H25" s="139"/>
      <c r="I25" s="138">
        <v>14417.55</v>
      </c>
      <c r="J25" s="139"/>
      <c r="K25" s="138">
        <v>8414.8799999999992</v>
      </c>
      <c r="L25" s="139"/>
      <c r="M25" s="138">
        <v>8200</v>
      </c>
      <c r="N25" s="138">
        <v>14966</v>
      </c>
      <c r="O25" s="8">
        <v>184035</v>
      </c>
      <c r="P25" s="11"/>
      <c r="Q25" s="11"/>
      <c r="R25" s="8">
        <f>12424.64</f>
        <v>12424.64</v>
      </c>
      <c r="S25" s="9"/>
      <c r="T25" s="9">
        <f>SUM(G25:S25)</f>
        <v>249772.55</v>
      </c>
    </row>
    <row r="26" spans="2:23" ht="16.5" x14ac:dyDescent="0.3">
      <c r="B26" s="4"/>
      <c r="C26" s="6"/>
      <c r="D26" s="5" t="s">
        <v>167</v>
      </c>
      <c r="E26" s="6"/>
      <c r="F26" s="7"/>
      <c r="G26" s="11"/>
      <c r="H26" s="11"/>
      <c r="I26" s="11"/>
      <c r="J26" s="11"/>
      <c r="K26" s="11"/>
      <c r="L26" s="11"/>
      <c r="M26" s="11"/>
      <c r="N26" s="11"/>
      <c r="P26" s="11"/>
      <c r="Q26" s="8">
        <v>4039</v>
      </c>
      <c r="R26" s="8">
        <v>116</v>
      </c>
      <c r="S26" s="9"/>
      <c r="T26" s="9">
        <f>SUM(G26:S26)</f>
        <v>4155</v>
      </c>
    </row>
    <row r="27" spans="2:23" ht="16.5" x14ac:dyDescent="0.3">
      <c r="B27" s="4"/>
      <c r="C27" s="6"/>
      <c r="D27" s="5" t="s">
        <v>6</v>
      </c>
      <c r="E27" s="6"/>
      <c r="F27" s="7"/>
      <c r="G27" s="11"/>
      <c r="H27" s="11"/>
      <c r="I27" s="11"/>
      <c r="J27" s="11"/>
      <c r="K27" s="11"/>
      <c r="L27" s="11"/>
      <c r="M27" s="11"/>
      <c r="N27" s="11"/>
      <c r="O27" s="8">
        <f>132523-3185</f>
        <v>129338</v>
      </c>
      <c r="P27" s="11"/>
      <c r="Q27" s="8">
        <v>14370</v>
      </c>
      <c r="R27" s="8">
        <v>2961</v>
      </c>
      <c r="S27" s="9">
        <v>23401</v>
      </c>
      <c r="T27" s="9">
        <f>SUM(G27:S27)</f>
        <v>170070</v>
      </c>
    </row>
    <row r="28" spans="2:23" x14ac:dyDescent="0.25">
      <c r="B28" s="4"/>
      <c r="C28" s="115"/>
      <c r="D28" s="104"/>
      <c r="E28" s="87" t="s">
        <v>168</v>
      </c>
      <c r="F28" s="105"/>
      <c r="G28" s="228">
        <f>SUM(G25:G27)</f>
        <v>7314.48</v>
      </c>
      <c r="H28" s="228" t="s">
        <v>236</v>
      </c>
      <c r="I28" s="228">
        <f>SUM(I25:I27)</f>
        <v>14417.55</v>
      </c>
      <c r="J28" s="123">
        <f>5547.96</f>
        <v>5547.96</v>
      </c>
      <c r="K28" s="228">
        <f>SUM(K25:K27)</f>
        <v>8414.8799999999992</v>
      </c>
      <c r="L28" s="228" t="s">
        <v>236</v>
      </c>
      <c r="M28" s="228">
        <f>SUM(M25:M27)</f>
        <v>8200</v>
      </c>
      <c r="N28" s="228">
        <f>SUM(N25:N27)</f>
        <v>14966</v>
      </c>
      <c r="O28" s="228">
        <f>SUM(O25:O27)</f>
        <v>313373</v>
      </c>
      <c r="P28" s="228">
        <v>10801.43</v>
      </c>
      <c r="Q28" s="228">
        <f t="shared" ref="Q28:S28" si="8">SUM(Q25:Q27)</f>
        <v>18409</v>
      </c>
      <c r="R28" s="228">
        <f t="shared" si="8"/>
        <v>15501.64</v>
      </c>
      <c r="S28" s="228">
        <f t="shared" si="8"/>
        <v>23401</v>
      </c>
      <c r="T28" s="229">
        <f>SUM(G28:S28)</f>
        <v>440346.94</v>
      </c>
    </row>
    <row r="29" spans="2:23" ht="16.5" x14ac:dyDescent="0.3">
      <c r="B29" s="17"/>
      <c r="C29" s="18" t="s">
        <v>2</v>
      </c>
      <c r="D29" s="18"/>
      <c r="E29" s="18"/>
      <c r="F29" s="7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7"/>
    </row>
    <row r="30" spans="2:23" ht="16.5" x14ac:dyDescent="0.3">
      <c r="B30" s="17"/>
      <c r="C30" s="18"/>
      <c r="D30" s="19" t="s">
        <v>216</v>
      </c>
      <c r="E30" s="18"/>
      <c r="F30" s="7"/>
      <c r="G30" s="140">
        <v>6915.83</v>
      </c>
      <c r="H30" s="141"/>
      <c r="I30" s="141"/>
      <c r="J30" s="141"/>
      <c r="K30" s="140">
        <v>2314.96</v>
      </c>
      <c r="L30" s="141"/>
      <c r="M30" s="140">
        <v>2167</v>
      </c>
      <c r="N30" s="140">
        <v>15752</v>
      </c>
      <c r="O30" s="140">
        <v>48605</v>
      </c>
      <c r="P30" s="141"/>
      <c r="Q30" s="141"/>
      <c r="R30" s="230"/>
      <c r="S30" s="140">
        <v>2577</v>
      </c>
      <c r="T30" s="37">
        <f>SUM(G30:S30)</f>
        <v>78331.790000000008</v>
      </c>
    </row>
    <row r="31" spans="2:23" ht="16.5" x14ac:dyDescent="0.3">
      <c r="B31" s="17"/>
      <c r="C31" s="19"/>
      <c r="D31" s="19" t="s">
        <v>6</v>
      </c>
      <c r="E31" s="18"/>
      <c r="F31" s="7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>
        <v>34.18</v>
      </c>
      <c r="S31" s="179"/>
      <c r="T31" s="179">
        <f>SUM(G31:S31)</f>
        <v>34.18</v>
      </c>
    </row>
    <row r="32" spans="2:23" ht="16.5" x14ac:dyDescent="0.3">
      <c r="B32" s="17"/>
      <c r="C32" s="19"/>
      <c r="D32" s="19" t="s">
        <v>3</v>
      </c>
      <c r="E32" s="18"/>
      <c r="F32" s="7"/>
      <c r="G32" s="116"/>
      <c r="H32" s="179"/>
      <c r="I32" s="179"/>
      <c r="J32" s="116"/>
      <c r="K32" s="179"/>
      <c r="L32" s="116"/>
      <c r="M32" s="116"/>
      <c r="N32" s="179"/>
      <c r="O32" s="116"/>
      <c r="P32" s="116"/>
      <c r="Q32" s="116">
        <v>4123</v>
      </c>
      <c r="R32" s="116"/>
      <c r="S32" s="179"/>
      <c r="T32" s="179">
        <f>SUM(G32:S32)</f>
        <v>4123</v>
      </c>
    </row>
    <row r="33" spans="2:20" ht="16.5" x14ac:dyDescent="0.3">
      <c r="B33" s="17"/>
      <c r="C33" s="19"/>
      <c r="D33" s="19" t="s">
        <v>8</v>
      </c>
      <c r="E33" s="18"/>
      <c r="F33" s="7"/>
      <c r="G33" s="116"/>
      <c r="H33" s="116"/>
      <c r="I33" s="116"/>
      <c r="J33" s="116"/>
      <c r="K33" s="116"/>
      <c r="L33" s="116"/>
      <c r="M33" s="116"/>
      <c r="N33" s="179"/>
      <c r="O33" s="116"/>
      <c r="P33" s="116"/>
      <c r="Q33" s="116"/>
      <c r="R33" s="116">
        <v>8.36</v>
      </c>
      <c r="S33" s="116"/>
      <c r="T33" s="116">
        <f>SUM(G33:S33)</f>
        <v>8.36</v>
      </c>
    </row>
    <row r="34" spans="2:20" ht="16.5" x14ac:dyDescent="0.3">
      <c r="B34" s="17"/>
      <c r="C34" s="107"/>
      <c r="D34" s="106"/>
      <c r="E34" s="87" t="s">
        <v>173</v>
      </c>
      <c r="F34" s="88"/>
      <c r="G34" s="123">
        <f>SUM(G30:G33)</f>
        <v>6915.83</v>
      </c>
      <c r="H34" s="228" t="s">
        <v>236</v>
      </c>
      <c r="I34" s="228" t="s">
        <v>236</v>
      </c>
      <c r="J34" s="228" t="s">
        <v>236</v>
      </c>
      <c r="K34" s="123">
        <f>SUM(K30:K33)</f>
        <v>2314.96</v>
      </c>
      <c r="L34" s="228" t="s">
        <v>236</v>
      </c>
      <c r="M34" s="123">
        <f>SUM(M30:M33)</f>
        <v>2167</v>
      </c>
      <c r="N34" s="123">
        <f>SUM(N30:N33)</f>
        <v>15752</v>
      </c>
      <c r="O34" s="123">
        <f>SUM(O30:O33)</f>
        <v>48605</v>
      </c>
      <c r="P34" s="123">
        <v>5010</v>
      </c>
      <c r="Q34" s="123">
        <f>SUM(Q31:Q33)</f>
        <v>4123</v>
      </c>
      <c r="R34" s="123">
        <f>SUM(R31:R33)</f>
        <v>42.54</v>
      </c>
      <c r="S34" s="123">
        <f>SUM(S30:S33)</f>
        <v>2577</v>
      </c>
      <c r="T34" s="123">
        <f>SUM(G34:S34)</f>
        <v>87507.33</v>
      </c>
    </row>
    <row r="35" spans="2:20" x14ac:dyDescent="0.25">
      <c r="B35" s="24"/>
      <c r="C35" s="25"/>
      <c r="D35" s="25"/>
      <c r="E35" s="26" t="s">
        <v>4</v>
      </c>
      <c r="F35" s="27"/>
      <c r="G35" s="28">
        <f>G28+G34</f>
        <v>14230.31</v>
      </c>
      <c r="H35" s="28">
        <v>7889.41</v>
      </c>
      <c r="I35" s="28">
        <f>I28</f>
        <v>14417.55</v>
      </c>
      <c r="J35" s="28">
        <f>J28</f>
        <v>5547.96</v>
      </c>
      <c r="K35" s="28">
        <f>K28+K34</f>
        <v>10729.84</v>
      </c>
      <c r="L35" s="28">
        <v>5168.2</v>
      </c>
      <c r="M35" s="28">
        <f>M28+M34</f>
        <v>10367</v>
      </c>
      <c r="N35" s="28">
        <f>N28+N34</f>
        <v>30718</v>
      </c>
      <c r="O35" s="28">
        <f>O28+O34</f>
        <v>361978</v>
      </c>
      <c r="P35" s="28">
        <f>P28+P34</f>
        <v>15811.43</v>
      </c>
      <c r="Q35" s="28">
        <f>Q28+Q34</f>
        <v>22532</v>
      </c>
      <c r="R35" s="28">
        <f>R34+R28</f>
        <v>15544.18</v>
      </c>
      <c r="S35" s="28">
        <f>S34+S28</f>
        <v>25978</v>
      </c>
      <c r="T35" s="28">
        <f>SUM(T28,T34)</f>
        <v>527854.27</v>
      </c>
    </row>
    <row r="36" spans="2:20" x14ac:dyDescent="0.25">
      <c r="B36" s="302" t="s">
        <v>247</v>
      </c>
      <c r="C36" s="303"/>
      <c r="D36" s="303"/>
      <c r="E36" s="303"/>
      <c r="F36" s="102"/>
      <c r="G36" s="103">
        <f>G21+G35</f>
        <v>20540.027491063818</v>
      </c>
      <c r="H36" s="103">
        <f t="shared" ref="H36:S36" si="9">H21+H35</f>
        <v>17438.978973887897</v>
      </c>
      <c r="I36" s="103">
        <f t="shared" si="9"/>
        <v>17067.887924480088</v>
      </c>
      <c r="J36" s="103">
        <f t="shared" si="9"/>
        <v>5714.4110000000001</v>
      </c>
      <c r="K36" s="103">
        <f t="shared" si="9"/>
        <v>28492.048211290443</v>
      </c>
      <c r="L36" s="103">
        <f t="shared" si="9"/>
        <v>13392.381690865219</v>
      </c>
      <c r="M36" s="103">
        <f t="shared" si="9"/>
        <v>29408.265055290038</v>
      </c>
      <c r="N36" s="103">
        <f t="shared" si="9"/>
        <v>41823.828425915744</v>
      </c>
      <c r="O36" s="103">
        <f t="shared" si="9"/>
        <v>380251</v>
      </c>
      <c r="P36" s="103">
        <f t="shared" si="9"/>
        <v>29204.801833616308</v>
      </c>
      <c r="Q36" s="103">
        <f t="shared" si="9"/>
        <v>63674.216089344889</v>
      </c>
      <c r="R36" s="103">
        <f t="shared" si="9"/>
        <v>23205.488817407946</v>
      </c>
      <c r="S36" s="103">
        <f t="shared" si="9"/>
        <v>45549.822971500224</v>
      </c>
      <c r="T36" s="103">
        <f>T21+T35</f>
        <v>702705.54848466266</v>
      </c>
    </row>
    <row r="37" spans="2:20" x14ac:dyDescent="0.25">
      <c r="S37" t="s">
        <v>249</v>
      </c>
    </row>
    <row r="39" spans="2:20" ht="21" x14ac:dyDescent="0.35">
      <c r="B39" s="266" t="s">
        <v>165</v>
      </c>
    </row>
    <row r="40" spans="2:20" x14ac:dyDescent="0.25">
      <c r="B40" s="295" t="s">
        <v>0</v>
      </c>
      <c r="C40" s="296"/>
      <c r="D40" s="296"/>
      <c r="E40" s="296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99" t="s">
        <v>48</v>
      </c>
    </row>
    <row r="41" spans="2:20" ht="54" x14ac:dyDescent="0.25">
      <c r="B41" s="297"/>
      <c r="C41" s="298"/>
      <c r="D41" s="298"/>
      <c r="E41" s="298"/>
      <c r="F41" s="20"/>
      <c r="G41" s="23" t="s">
        <v>36</v>
      </c>
      <c r="H41" s="23" t="s">
        <v>212</v>
      </c>
      <c r="I41" s="23" t="s">
        <v>37</v>
      </c>
      <c r="J41" s="23" t="s">
        <v>38</v>
      </c>
      <c r="K41" s="23" t="s">
        <v>41</v>
      </c>
      <c r="L41" s="23" t="s">
        <v>42</v>
      </c>
      <c r="M41" s="23" t="s">
        <v>43</v>
      </c>
      <c r="N41" s="23" t="s">
        <v>44</v>
      </c>
      <c r="O41" s="23" t="s">
        <v>45</v>
      </c>
      <c r="P41" s="23" t="s">
        <v>46</v>
      </c>
      <c r="Q41" s="23" t="s">
        <v>47</v>
      </c>
      <c r="R41" s="23" t="s">
        <v>39</v>
      </c>
      <c r="S41" s="23" t="s">
        <v>201</v>
      </c>
      <c r="T41" s="299"/>
    </row>
    <row r="42" spans="2:20" x14ac:dyDescent="0.25">
      <c r="B42" s="300" t="s">
        <v>245</v>
      </c>
      <c r="C42" s="301"/>
      <c r="D42" s="301"/>
      <c r="E42" s="30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</row>
    <row r="43" spans="2:20" x14ac:dyDescent="0.25">
      <c r="B43" s="4"/>
      <c r="C43" s="6" t="s">
        <v>168</v>
      </c>
      <c r="D43" s="6"/>
      <c r="E43" s="6"/>
      <c r="F43" s="7"/>
      <c r="G43" s="11">
        <f>7769.52+2127.14</f>
        <v>9896.66</v>
      </c>
      <c r="H43" s="11">
        <v>12872</v>
      </c>
      <c r="I43" s="11">
        <v>4576.5200000000004</v>
      </c>
      <c r="J43" s="114">
        <f>706.34+619.95+438.98+488.07</f>
        <v>2253.34</v>
      </c>
      <c r="K43" s="11">
        <v>10295.16</v>
      </c>
      <c r="L43" s="11">
        <v>11337</v>
      </c>
      <c r="M43" s="11">
        <v>23011</v>
      </c>
      <c r="N43" s="11">
        <v>7373</v>
      </c>
      <c r="O43" s="114">
        <f>86946+1520</f>
        <v>88466</v>
      </c>
      <c r="P43" s="11">
        <v>12100.2</v>
      </c>
      <c r="Q43" s="11">
        <v>21420</v>
      </c>
      <c r="R43" s="11">
        <v>18227.36</v>
      </c>
      <c r="S43" s="12">
        <v>23374</v>
      </c>
      <c r="T43" s="12">
        <f t="shared" ref="T43:T57" si="10">SUM(G43:S43)</f>
        <v>245202.24</v>
      </c>
    </row>
    <row r="44" spans="2:20" ht="16.5" x14ac:dyDescent="0.3">
      <c r="B44" s="4"/>
      <c r="C44" s="5"/>
      <c r="D44" s="19" t="s">
        <v>6</v>
      </c>
      <c r="E44" s="6"/>
      <c r="F44" s="7"/>
      <c r="G44" s="8">
        <f>G43*'CalRecycle 2018- Edited'!$J$69</f>
        <v>829.02617846796431</v>
      </c>
      <c r="H44" s="8">
        <f>H43*'CalRecycle 2018- Edited'!$J$69</f>
        <v>1078.2652904353224</v>
      </c>
      <c r="I44" s="8">
        <f>I43*'CalRecycle 2018- Edited'!$J$69</f>
        <v>383.36720532808124</v>
      </c>
      <c r="J44" s="289" t="s">
        <v>236</v>
      </c>
      <c r="K44" s="8">
        <f>K43*'CalRecycle 2018- Edited'!$J$69</f>
        <v>862.40783774690124</v>
      </c>
      <c r="L44" s="8">
        <f>L43*'CalRecycle 2018- Edited'!$J$69</f>
        <v>949.68098179500066</v>
      </c>
      <c r="M44" s="8">
        <f>M43*'CalRecycle 2018- Edited'!$J$69</f>
        <v>1927.5918736954011</v>
      </c>
      <c r="N44" s="8">
        <f>N43*'CalRecycle 2018- Edited'!$J$69</f>
        <v>617.62352286976625</v>
      </c>
      <c r="O44" s="289" t="s">
        <v>236</v>
      </c>
      <c r="P44" s="8">
        <f>P43*'CalRecycle 2018- Edited'!$J$69</f>
        <v>1013.6129325144102</v>
      </c>
      <c r="Q44" s="8">
        <f>Q43*'CalRecycle 2018- Edited'!$J$69</f>
        <v>1794.3165414173868</v>
      </c>
      <c r="R44" s="8">
        <f>R43*'CalRecycle 2018- Edited'!$J$69</f>
        <v>1526.874582370197</v>
      </c>
      <c r="S44" s="8">
        <f>S43*'CalRecycle 2018- Edited'!$J$69</f>
        <v>1957.9997590611579</v>
      </c>
      <c r="T44" s="9">
        <f t="shared" si="10"/>
        <v>12940.76670570159</v>
      </c>
    </row>
    <row r="45" spans="2:20" ht="16.5" x14ac:dyDescent="0.3">
      <c r="B45" s="4"/>
      <c r="C45" s="5"/>
      <c r="D45" s="19" t="s">
        <v>3</v>
      </c>
      <c r="E45" s="6"/>
      <c r="F45" s="7"/>
      <c r="G45" s="8">
        <f>G43*'CalRecycle 2018- Edited'!$J$60</f>
        <v>1974.646425019514</v>
      </c>
      <c r="H45" s="8">
        <f>H43*'CalRecycle 2018- Edited'!$J$60</f>
        <v>2568.3057499046331</v>
      </c>
      <c r="I45" s="8">
        <f>I43*'CalRecycle 2018- Edited'!$J$60</f>
        <v>913.13724600322814</v>
      </c>
      <c r="J45" s="289" t="s">
        <v>236</v>
      </c>
      <c r="K45" s="8">
        <f>K43*'CalRecycle 2018- Edited'!$J$60</f>
        <v>2054.1577551420278</v>
      </c>
      <c r="L45" s="8">
        <f>L43*'CalRecycle 2018- Edited'!$J$60</f>
        <v>2262.0324958568076</v>
      </c>
      <c r="M45" s="8">
        <f>M43*'CalRecycle 2018- Edited'!$J$60</f>
        <v>4591.3054390192283</v>
      </c>
      <c r="N45" s="8">
        <f>N43*'CalRecycle 2018- Edited'!$J$60</f>
        <v>1471.1092521789046</v>
      </c>
      <c r="O45" s="289" t="s">
        <v>236</v>
      </c>
      <c r="P45" s="8">
        <f>P43*'CalRecycle 2018- Edited'!$J$60</f>
        <v>2414.3111587162866</v>
      </c>
      <c r="Q45" s="8">
        <f>Q43*'CalRecycle 2018- Edited'!$J$60</f>
        <v>4273.8586981787785</v>
      </c>
      <c r="R45" s="8">
        <f>R43*'CalRecycle 2018- Edited'!$J$60</f>
        <v>3636.8422540072806</v>
      </c>
      <c r="S45" s="8">
        <f>S43*'CalRecycle 2018- Edited'!$J$60</f>
        <v>4663.7335766214183</v>
      </c>
      <c r="T45" s="9">
        <f t="shared" si="10"/>
        <v>30823.440050648103</v>
      </c>
    </row>
    <row r="46" spans="2:20" ht="16.5" x14ac:dyDescent="0.3">
      <c r="B46" s="4"/>
      <c r="C46" s="5"/>
      <c r="D46" s="19" t="s">
        <v>7</v>
      </c>
      <c r="E46" s="6"/>
      <c r="F46" s="7"/>
      <c r="G46" s="8">
        <f>G43*'CalRecycle 2018- Edited'!$J$16</f>
        <v>792.70735253640669</v>
      </c>
      <c r="H46" s="8">
        <f>H43*'CalRecycle 2018- Edited'!$J$16</f>
        <v>1031.027542812285</v>
      </c>
      <c r="I46" s="8">
        <f>I43*'CalRecycle 2018- Edited'!$J$16</f>
        <v>366.57226306955238</v>
      </c>
      <c r="J46" s="289" t="s">
        <v>236</v>
      </c>
      <c r="K46" s="8">
        <f>K43*'CalRecycle 2018- Edited'!$J$16</f>
        <v>824.62659397601954</v>
      </c>
      <c r="L46" s="8">
        <f>L43*'CalRecycle 2018- Edited'!$J$16</f>
        <v>908.07638695329968</v>
      </c>
      <c r="M46" s="8">
        <f>M43*'CalRecycle 2018- Edited'!$J$16</f>
        <v>1843.1459592645656</v>
      </c>
      <c r="N46" s="8">
        <f>N43*'CalRecycle 2018- Edited'!$J$16</f>
        <v>590.56604048749045</v>
      </c>
      <c r="O46" s="289" t="s">
        <v>236</v>
      </c>
      <c r="P46" s="8">
        <f>P43*'CalRecycle 2018- Edited'!$J$16</f>
        <v>969.20754144944146</v>
      </c>
      <c r="Q46" s="8">
        <f>Q43*'CalRecycle 2018- Edited'!$J$16</f>
        <v>1715.7092889247315</v>
      </c>
      <c r="R46" s="8">
        <f>R43*'CalRecycle 2018- Edited'!$J$16</f>
        <v>1459.9837004937019</v>
      </c>
      <c r="S46" s="8">
        <f>S43*'CalRecycle 2018- Edited'!$J$16</f>
        <v>1872.2217049172116</v>
      </c>
      <c r="T46" s="9">
        <f t="shared" si="10"/>
        <v>12373.844374884706</v>
      </c>
    </row>
    <row r="47" spans="2:20" ht="16.5" x14ac:dyDescent="0.3">
      <c r="B47" s="4"/>
      <c r="C47" s="5"/>
      <c r="D47" s="19" t="s">
        <v>8</v>
      </c>
      <c r="E47" s="6"/>
      <c r="F47" s="7"/>
      <c r="G47" s="8">
        <f>G43*'CalRecycle 2018- Edited'!$J$74</f>
        <v>214.82782495273031</v>
      </c>
      <c r="H47" s="8">
        <f>H43*'CalRecycle 2018- Edited'!$J$74</f>
        <v>279.41383889024627</v>
      </c>
      <c r="I47" s="8">
        <f>I43*'CalRecycle 2018- Edited'!$J$74</f>
        <v>99.342994247823952</v>
      </c>
      <c r="J47" s="289" t="s">
        <v>236</v>
      </c>
      <c r="K47" s="8">
        <f>K43*'CalRecycle 2018- Edited'!$J$74</f>
        <v>223.47810577915689</v>
      </c>
      <c r="L47" s="8">
        <f>L43*'CalRecycle 2018- Edited'!$J$74</f>
        <v>246.09343470313252</v>
      </c>
      <c r="M47" s="8">
        <f>M43*'CalRecycle 2018- Edited'!$J$74</f>
        <v>499.50216335483663</v>
      </c>
      <c r="N47" s="8">
        <f>N43*'CalRecycle 2018- Edited'!$J$74</f>
        <v>160.04647561667073</v>
      </c>
      <c r="O47" s="289" t="s">
        <v>236</v>
      </c>
      <c r="P47" s="8">
        <f>P43*'CalRecycle 2018- Edited'!$J$74</f>
        <v>262.66029625075811</v>
      </c>
      <c r="Q47" s="8">
        <f>Q43*'CalRecycle 2018- Edited'!$J$74</f>
        <v>464.96616136024511</v>
      </c>
      <c r="R47" s="8">
        <f>R43*'CalRecycle 2018- Edited'!$J$74</f>
        <v>395.66319378764132</v>
      </c>
      <c r="S47" s="8">
        <f>S43*'CalRecycle 2018- Edited'!$J$74</f>
        <v>507.38184199973711</v>
      </c>
      <c r="T47" s="9">
        <f t="shared" si="10"/>
        <v>3353.3763309429792</v>
      </c>
    </row>
    <row r="48" spans="2:20" ht="16.5" x14ac:dyDescent="0.3">
      <c r="B48" s="4"/>
      <c r="C48" s="5"/>
      <c r="D48" s="19" t="s">
        <v>263</v>
      </c>
      <c r="E48" s="6"/>
      <c r="F48" s="7"/>
      <c r="G48" s="289" t="s">
        <v>236</v>
      </c>
      <c r="H48" s="289" t="s">
        <v>236</v>
      </c>
      <c r="I48" s="289" t="s">
        <v>236</v>
      </c>
      <c r="J48" s="8">
        <f>J43*0.3</f>
        <v>676.00200000000007</v>
      </c>
      <c r="K48" s="289" t="s">
        <v>236</v>
      </c>
      <c r="L48" s="289" t="s">
        <v>236</v>
      </c>
      <c r="M48" s="289" t="s">
        <v>236</v>
      </c>
      <c r="N48" s="289" t="s">
        <v>236</v>
      </c>
      <c r="O48" s="8">
        <f>O43*0.3</f>
        <v>26539.8</v>
      </c>
      <c r="P48" s="289" t="s">
        <v>236</v>
      </c>
      <c r="Q48" s="289" t="s">
        <v>236</v>
      </c>
      <c r="R48" s="289" t="s">
        <v>236</v>
      </c>
      <c r="S48" s="289" t="s">
        <v>236</v>
      </c>
      <c r="T48" s="9">
        <f>SUM(G48:S48)</f>
        <v>27215.802</v>
      </c>
    </row>
    <row r="49" spans="2:21" ht="16.5" x14ac:dyDescent="0.3">
      <c r="B49" s="4"/>
      <c r="C49" s="5"/>
      <c r="D49" s="60" t="s">
        <v>9</v>
      </c>
      <c r="E49" s="6"/>
      <c r="F49" s="7"/>
      <c r="G49" s="8">
        <f>G44*'CalRecycle 2018- Edited'!$J$74</f>
        <v>17.995757230130852</v>
      </c>
      <c r="H49" s="8">
        <f>H44*'CalRecycle 2018- Edited'!$J$74</f>
        <v>23.406016480938455</v>
      </c>
      <c r="I49" s="8">
        <f>I44*'CalRecycle 2018- Edited'!$J$74</f>
        <v>8.3217916831373877</v>
      </c>
      <c r="J49" s="289" t="s">
        <v>236</v>
      </c>
      <c r="K49" s="8">
        <f>K44*'CalRecycle 2018- Edited'!$J$74</f>
        <v>18.720376369942379</v>
      </c>
      <c r="L49" s="8">
        <f>L44*'CalRecycle 2018- Edited'!$J$74</f>
        <v>20.614823558452393</v>
      </c>
      <c r="M49" s="8">
        <f>M44*'CalRecycle 2018- Edited'!$J$74</f>
        <v>41.842436703144401</v>
      </c>
      <c r="N49" s="8">
        <f>N44*'CalRecycle 2018- Edited'!$J$74</f>
        <v>13.406817861556805</v>
      </c>
      <c r="O49" s="289" t="s">
        <v>236</v>
      </c>
      <c r="P49" s="8">
        <f>P44*'CalRecycle 2018- Edited'!$J$74</f>
        <v>22.002601042779013</v>
      </c>
      <c r="Q49" s="8">
        <f>Q44*'CalRecycle 2018- Edited'!$J$74</f>
        <v>38.949415244072533</v>
      </c>
      <c r="R49" s="8">
        <f>R44*'CalRecycle 2018- Edited'!$J$74</f>
        <v>33.144024903977488</v>
      </c>
      <c r="S49" s="8">
        <f>S44*'CalRecycle 2018- Edited'!$J$74</f>
        <v>42.502503824227418</v>
      </c>
      <c r="T49" s="179">
        <f t="shared" si="10"/>
        <v>280.90656490235915</v>
      </c>
    </row>
    <row r="50" spans="2:21" ht="16.5" x14ac:dyDescent="0.3">
      <c r="B50" s="96"/>
      <c r="C50" s="85"/>
      <c r="D50" s="86"/>
      <c r="E50" s="97" t="s">
        <v>174</v>
      </c>
      <c r="F50" s="98"/>
      <c r="G50" s="99">
        <f>SUM(G44:G49)</f>
        <v>3829.2035382067461</v>
      </c>
      <c r="H50" s="99">
        <f>SUM(H44:H49)</f>
        <v>4980.4184385234257</v>
      </c>
      <c r="I50" s="99">
        <f t="shared" ref="I50:Q50" si="11">SUM(I44:I49)</f>
        <v>1770.7415003318233</v>
      </c>
      <c r="J50" s="99">
        <f>J48</f>
        <v>676.00200000000007</v>
      </c>
      <c r="K50" s="99">
        <f t="shared" si="11"/>
        <v>3983.3906690140479</v>
      </c>
      <c r="L50" s="99">
        <f t="shared" si="11"/>
        <v>4386.4981228666929</v>
      </c>
      <c r="M50" s="99">
        <f t="shared" si="11"/>
        <v>8903.3878720371758</v>
      </c>
      <c r="N50" s="99">
        <f t="shared" si="11"/>
        <v>2852.7521090143891</v>
      </c>
      <c r="O50" s="99">
        <f>O48</f>
        <v>26539.8</v>
      </c>
      <c r="P50" s="99">
        <f t="shared" si="11"/>
        <v>4681.7945299736748</v>
      </c>
      <c r="Q50" s="99">
        <f t="shared" si="11"/>
        <v>8287.800105125214</v>
      </c>
      <c r="R50" s="99">
        <f>SUM(R44:R49)</f>
        <v>7052.5077555627986</v>
      </c>
      <c r="S50" s="99">
        <f>SUM(S44:S49)</f>
        <v>9043.8393864237532</v>
      </c>
      <c r="T50" s="100">
        <f t="shared" si="10"/>
        <v>86988.13602707973</v>
      </c>
    </row>
    <row r="51" spans="2:21" x14ac:dyDescent="0.25">
      <c r="B51" s="4"/>
      <c r="C51" s="6" t="s">
        <v>176</v>
      </c>
      <c r="D51" s="6"/>
      <c r="E51" s="6"/>
      <c r="F51" s="7"/>
      <c r="G51" s="11">
        <v>5853.11</v>
      </c>
      <c r="H51" s="11">
        <v>14307</v>
      </c>
      <c r="I51" s="11">
        <v>3101.82</v>
      </c>
      <c r="J51" s="265" t="s">
        <v>236</v>
      </c>
      <c r="K51" s="11">
        <v>29377.83</v>
      </c>
      <c r="L51" s="11">
        <v>9432</v>
      </c>
      <c r="M51" s="11">
        <v>33119</v>
      </c>
      <c r="N51" s="11">
        <v>15841</v>
      </c>
      <c r="O51" s="11">
        <v>67921</v>
      </c>
      <c r="P51" s="11">
        <v>45475.18</v>
      </c>
      <c r="Q51" s="11">
        <v>64142</v>
      </c>
      <c r="R51" s="11">
        <v>5787.03</v>
      </c>
      <c r="S51" s="12">
        <f>22991</f>
        <v>22991</v>
      </c>
      <c r="T51" s="12">
        <f t="shared" si="10"/>
        <v>317347.97000000003</v>
      </c>
    </row>
    <row r="52" spans="2:21" ht="16.5" x14ac:dyDescent="0.3">
      <c r="B52" s="4"/>
      <c r="C52" s="5"/>
      <c r="D52" s="19" t="s">
        <v>6</v>
      </c>
      <c r="E52" s="6"/>
      <c r="F52" s="7"/>
      <c r="G52" s="8">
        <f>G51*'CalRecycle 2018- Edited'!$P$69</f>
        <v>373.76953907143508</v>
      </c>
      <c r="H52" s="8">
        <f>H51*'CalRecycle 2018- Edited'!$P$69</f>
        <v>913.62041641025405</v>
      </c>
      <c r="I52" s="8">
        <f>I51*'CalRecycle 2018- Edited'!$P$69</f>
        <v>198.07689103443448</v>
      </c>
      <c r="J52" s="8"/>
      <c r="K52" s="8">
        <f>K51*'CalRecycle 2018- Edited'!$P$69</f>
        <v>1876.0177030705008</v>
      </c>
      <c r="L52" s="8">
        <f>L51*'CalRecycle 2018- Edited'!$P$69</f>
        <v>602.3112998938642</v>
      </c>
      <c r="M52" s="8">
        <f>M51*'CalRecycle 2018- Edited'!$P$69</f>
        <v>2114.9223856218077</v>
      </c>
      <c r="N52" s="8">
        <f>N51*'CalRecycle 2018- Edited'!$P$69</f>
        <v>1011.5790184074114</v>
      </c>
      <c r="O52" s="8"/>
      <c r="P52" s="8">
        <f>P51*'CalRecycle 2018- Edited'!$P$69</f>
        <v>2903.9667916356507</v>
      </c>
      <c r="Q52" s="8">
        <f>Q51*'CalRecycle 2018- Edited'!$P$69</f>
        <v>4095.9978157116457</v>
      </c>
      <c r="R52" s="8">
        <f>R51*'CalRecycle 2018- Edited'!$P$69</f>
        <v>369.54978390848061</v>
      </c>
      <c r="S52" s="8">
        <f>S51*'CalRecycle 2018- Edited'!$P$69</f>
        <v>1468.1657226314496</v>
      </c>
      <c r="T52" s="9">
        <f t="shared" si="10"/>
        <v>15927.977367396934</v>
      </c>
    </row>
    <row r="53" spans="2:21" ht="16.5" x14ac:dyDescent="0.3">
      <c r="B53" s="4"/>
      <c r="C53" s="5"/>
      <c r="D53" s="19" t="s">
        <v>3</v>
      </c>
      <c r="E53" s="6"/>
      <c r="F53" s="7"/>
      <c r="G53" s="8">
        <f>G51*'CalRecycle 2018- Edited'!$P$60</f>
        <v>1171.5702208195896</v>
      </c>
      <c r="H53" s="8">
        <f>H51*'CalRecycle 2018- Edited'!$P$60</f>
        <v>2863.7177755528037</v>
      </c>
      <c r="I53" s="8">
        <f>I51*'CalRecycle 2018- Edited'!$P$60</f>
        <v>620.8665038488291</v>
      </c>
      <c r="J53" s="8"/>
      <c r="K53" s="8">
        <f>K51*'CalRecycle 2018- Edited'!$P$60</f>
        <v>5880.3252937840516</v>
      </c>
      <c r="L53" s="8">
        <f>L51*'CalRecycle 2018- Edited'!$P$60</f>
        <v>1887.928011394006</v>
      </c>
      <c r="M53" s="8">
        <f>M51*'CalRecycle 2018- Edited'!$P$60</f>
        <v>6629.165374189789</v>
      </c>
      <c r="N53" s="8">
        <f>N51*'CalRecycle 2018- Edited'!$P$60</f>
        <v>3170.7662880081052</v>
      </c>
      <c r="O53" s="8"/>
      <c r="P53" s="8">
        <f>P51*'CalRecycle 2018- Edited'!$P$60</f>
        <v>9102.403111236692</v>
      </c>
      <c r="Q53" s="8">
        <f>Q51*'CalRecycle 2018- Edited'!$P$60</f>
        <v>12838.79119029202</v>
      </c>
      <c r="R53" s="8">
        <f>R51*'CalRecycle 2018- Edited'!$P$60</f>
        <v>1158.343515667669</v>
      </c>
      <c r="S53" s="8">
        <f>S51*'CalRecycle 2018- Edited'!$P$60</f>
        <v>4601.9246087743422</v>
      </c>
      <c r="T53" s="9">
        <f t="shared" si="10"/>
        <v>49925.801893567907</v>
      </c>
    </row>
    <row r="54" spans="2:21" ht="16.5" x14ac:dyDescent="0.3">
      <c r="B54" s="4"/>
      <c r="C54" s="5"/>
      <c r="D54" s="19" t="s">
        <v>7</v>
      </c>
      <c r="E54" s="6"/>
      <c r="F54" s="7"/>
      <c r="G54" s="8">
        <f>G51*'CalRecycle 2018- Edited'!$P$16</f>
        <v>418.4544185372178</v>
      </c>
      <c r="H54" s="8">
        <f>H51*'CalRecycle 2018- Edited'!$P$16</f>
        <v>1022.8455241763738</v>
      </c>
      <c r="I54" s="8">
        <f>I51*'CalRecycle 2018- Edited'!$P$16</f>
        <v>221.75737078358566</v>
      </c>
      <c r="J54" s="8"/>
      <c r="K54" s="8">
        <f>K51*'CalRecycle 2018- Edited'!$P$16</f>
        <v>2100.2992888456283</v>
      </c>
      <c r="L54" s="8">
        <f>L51*'CalRecycle 2018- Edited'!$P$16</f>
        <v>674.31879387932884</v>
      </c>
      <c r="M54" s="8">
        <f>M51*'CalRecycle 2018- Edited'!$P$16</f>
        <v>2367.7654934785301</v>
      </c>
      <c r="N54" s="8">
        <f>N51*'CalRecycle 2018- Edited'!$P$16</f>
        <v>1132.5152686431775</v>
      </c>
      <c r="O54" s="8"/>
      <c r="P54" s="8">
        <f>P51*'CalRecycle 2018- Edited'!$P$16</f>
        <v>3251.1417015527331</v>
      </c>
      <c r="Q54" s="8">
        <f>Q51*'CalRecycle 2018- Edited'!$P$16</f>
        <v>4585.6823660949867</v>
      </c>
      <c r="R54" s="8">
        <f>R51*'CalRecycle 2018- Edited'!$P$16</f>
        <v>413.73018339095552</v>
      </c>
      <c r="S54" s="8">
        <f>S51*'CalRecycle 2018- Edited'!$P$16</f>
        <v>1643.6878064121768</v>
      </c>
      <c r="T54" s="9">
        <f t="shared" si="10"/>
        <v>17832.198215794695</v>
      </c>
    </row>
    <row r="55" spans="2:21" ht="16.5" x14ac:dyDescent="0.3">
      <c r="B55" s="4"/>
      <c r="C55" s="5"/>
      <c r="D55" s="19" t="s">
        <v>8</v>
      </c>
      <c r="E55" s="6"/>
      <c r="F55" s="7"/>
      <c r="G55" s="8">
        <f>G51*'CalRecycle 2018- Edited'!$P$74</f>
        <v>462.20877768450367</v>
      </c>
      <c r="H55" s="8">
        <f>H51*'CalRecycle 2018- Edited'!$P$74</f>
        <v>1129.7961224600588</v>
      </c>
      <c r="I55" s="8">
        <f>I51*'CalRecycle 2018- Edited'!$P$74</f>
        <v>244.94472695666872</v>
      </c>
      <c r="J55" s="8"/>
      <c r="K55" s="8">
        <f>K51*'CalRecycle 2018- Edited'!$P$74</f>
        <v>2319.9104228902488</v>
      </c>
      <c r="L55" s="8">
        <f>L51*'CalRecycle 2018- Edited'!$P$74</f>
        <v>744.82679996108709</v>
      </c>
      <c r="M55" s="8">
        <f>M51*'CalRecycle 2018- Edited'!$P$74</f>
        <v>2615.3433829422438</v>
      </c>
      <c r="N55" s="8">
        <f>N51*'CalRecycle 2018- Edited'!$P$74</f>
        <v>1250.9331359397352</v>
      </c>
      <c r="O55" s="8"/>
      <c r="P55" s="8">
        <f>P51*'CalRecycle 2018- Edited'!$P$74</f>
        <v>3591.0870225884678</v>
      </c>
      <c r="Q55" s="8">
        <f>Q51*'CalRecycle 2018- Edited'!$P$74</f>
        <v>5065.1696992264688</v>
      </c>
      <c r="R55" s="8">
        <f>R51*'CalRecycle 2018- Edited'!$P$74</f>
        <v>456.99056787307143</v>
      </c>
      <c r="S55" s="8">
        <f>S51*'CalRecycle 2018- Edited'!$P$74</f>
        <v>1815.5548089382266</v>
      </c>
      <c r="T55" s="9">
        <f t="shared" si="10"/>
        <v>19696.765467460784</v>
      </c>
    </row>
    <row r="56" spans="2:21" ht="16.5" x14ac:dyDescent="0.3">
      <c r="B56" s="4"/>
      <c r="C56" s="5"/>
      <c r="D56" s="19" t="s">
        <v>263</v>
      </c>
      <c r="E56" s="58"/>
      <c r="F56" s="7"/>
      <c r="G56" s="8"/>
      <c r="H56" s="8"/>
      <c r="I56" s="8"/>
      <c r="J56" s="8"/>
      <c r="K56" s="8"/>
      <c r="L56" s="8"/>
      <c r="M56" s="8"/>
      <c r="N56" s="8"/>
      <c r="O56" s="8">
        <f>O51*0.72</f>
        <v>48903.119999999995</v>
      </c>
      <c r="P56" s="8"/>
      <c r="Q56" s="8"/>
      <c r="R56" s="8"/>
      <c r="S56" s="8"/>
      <c r="T56" s="9">
        <f>SUM(G56:S56)</f>
        <v>48903.119999999995</v>
      </c>
    </row>
    <row r="57" spans="2:21" ht="16.5" x14ac:dyDescent="0.3">
      <c r="B57" s="4"/>
      <c r="C57" s="5"/>
      <c r="D57" s="60" t="s">
        <v>9</v>
      </c>
      <c r="E57" s="58"/>
      <c r="F57" s="7"/>
      <c r="G57" s="8">
        <f>G51*'CalRecycle 2018- Edited'!$P$103</f>
        <v>73.121196532756485</v>
      </c>
      <c r="H57" s="8">
        <f>H51*'CalRecycle 2018- Edited'!$P$103</f>
        <v>178.73317924900559</v>
      </c>
      <c r="I57" s="8">
        <f>I51*'CalRecycle 2018- Edited'!$P$103</f>
        <v>38.75013280618932</v>
      </c>
      <c r="J57" s="8"/>
      <c r="K57" s="8">
        <f>K51*'CalRecycle 2018- Edited'!$P$103</f>
        <v>367.00866396427023</v>
      </c>
      <c r="L57" s="8">
        <f>L51*'CalRecycle 2018- Edited'!$P$103</f>
        <v>117.83122574100935</v>
      </c>
      <c r="M57" s="8">
        <f>M51*'CalRecycle 2018- Edited'!$P$103</f>
        <v>413.74600989360567</v>
      </c>
      <c r="N57" s="8">
        <f>N51*'CalRecycle 2018- Edited'!$P$103</f>
        <v>197.8969939528551</v>
      </c>
      <c r="O57" s="8"/>
      <c r="P57" s="8">
        <f>P51*'CalRecycle 2018- Edited'!$P$103</f>
        <v>568.10816371851502</v>
      </c>
      <c r="Q57" s="8">
        <f>Q51*'CalRecycle 2018- Edited'!$P$103</f>
        <v>801.30730295587591</v>
      </c>
      <c r="R57" s="8">
        <f>R51*'CalRecycle 2018- Edited'!$P$103</f>
        <v>72.295678360898364</v>
      </c>
      <c r="S57" s="8">
        <f>S51*'CalRecycle 2018- Edited'!$P$103</f>
        <v>287.21985909791624</v>
      </c>
      <c r="T57" s="9">
        <f t="shared" si="10"/>
        <v>3116.0184062728977</v>
      </c>
    </row>
    <row r="58" spans="2:21" ht="16.5" x14ac:dyDescent="0.3">
      <c r="B58" s="101"/>
      <c r="C58" s="85"/>
      <c r="D58" s="91"/>
      <c r="E58" s="97" t="s">
        <v>175</v>
      </c>
      <c r="F58" s="98"/>
      <c r="G58" s="99">
        <f>SUM(G52:G57)</f>
        <v>2499.1241526455028</v>
      </c>
      <c r="H58" s="99">
        <f>SUM(H52:H57)</f>
        <v>6108.7130178484958</v>
      </c>
      <c r="I58" s="99">
        <f>SUM(I52:I57)</f>
        <v>1324.3956254297075</v>
      </c>
      <c r="J58" s="288" t="s">
        <v>236</v>
      </c>
      <c r="K58" s="99">
        <f>SUM(K52:K57)</f>
        <v>12543.561372554701</v>
      </c>
      <c r="L58" s="99">
        <f t="shared" ref="L58:Q58" si="12">SUM(L52:L57)</f>
        <v>4027.2161308692957</v>
      </c>
      <c r="M58" s="99">
        <f t="shared" si="12"/>
        <v>14140.942646125975</v>
      </c>
      <c r="N58" s="99">
        <f t="shared" si="12"/>
        <v>6763.6907049512838</v>
      </c>
      <c r="O58" s="99">
        <f>O56</f>
        <v>48903.119999999995</v>
      </c>
      <c r="P58" s="99">
        <f t="shared" si="12"/>
        <v>19416.70679073206</v>
      </c>
      <c r="Q58" s="99">
        <f t="shared" si="12"/>
        <v>27386.948374281001</v>
      </c>
      <c r="R58" s="99">
        <f>SUM(R52:R57)</f>
        <v>2470.9097292010747</v>
      </c>
      <c r="S58" s="99">
        <f>SUM(S52:S57)</f>
        <v>9816.5528058541131</v>
      </c>
      <c r="T58" s="100">
        <f>SUM(G58:S58)</f>
        <v>155401.88135049323</v>
      </c>
    </row>
    <row r="59" spans="2:21" ht="16.5" x14ac:dyDescent="0.3">
      <c r="B59" s="4"/>
      <c r="C59" s="92" t="s">
        <v>188</v>
      </c>
      <c r="D59" s="86"/>
      <c r="E59" s="93"/>
      <c r="F59" s="88"/>
      <c r="G59" s="89">
        <f t="shared" ref="G59:R59" si="13">G50+G58</f>
        <v>6328.3276908522494</v>
      </c>
      <c r="H59" s="89">
        <f t="shared" ref="H59" si="14">H50+H58</f>
        <v>11089.131456371921</v>
      </c>
      <c r="I59" s="89">
        <f t="shared" si="13"/>
        <v>3095.137125761531</v>
      </c>
      <c r="J59" s="89">
        <f>J50</f>
        <v>676.00200000000007</v>
      </c>
      <c r="K59" s="89">
        <f t="shared" si="13"/>
        <v>16526.952041568748</v>
      </c>
      <c r="L59" s="89">
        <f t="shared" si="13"/>
        <v>8413.7142537359887</v>
      </c>
      <c r="M59" s="89">
        <f t="shared" si="13"/>
        <v>23044.330518163151</v>
      </c>
      <c r="N59" s="89">
        <f t="shared" si="13"/>
        <v>9616.4428139656738</v>
      </c>
      <c r="O59" s="89">
        <f>O50+O58</f>
        <v>75442.92</v>
      </c>
      <c r="P59" s="89">
        <f t="shared" si="13"/>
        <v>24098.501320705735</v>
      </c>
      <c r="Q59" s="89">
        <f t="shared" si="13"/>
        <v>35674.748479406218</v>
      </c>
      <c r="R59" s="89">
        <f t="shared" si="13"/>
        <v>9523.4174847638733</v>
      </c>
      <c r="S59" s="89">
        <f>S50+S58</f>
        <v>18860.392192277868</v>
      </c>
      <c r="T59" s="90">
        <f>SUM(G59:S59)</f>
        <v>242390.01737757295</v>
      </c>
      <c r="U59" s="34"/>
    </row>
    <row r="60" spans="2:21" ht="16.5" x14ac:dyDescent="0.3">
      <c r="B60" s="4"/>
      <c r="C60" s="6"/>
      <c r="D60" s="6" t="s">
        <v>171</v>
      </c>
      <c r="E60" s="10"/>
      <c r="F60" s="7"/>
      <c r="G60" s="11">
        <f t="shared" ref="G60:T60" si="15">G43+G51</f>
        <v>15749.77</v>
      </c>
      <c r="H60" s="11">
        <f t="shared" ref="H60" si="16">H43+H51</f>
        <v>27179</v>
      </c>
      <c r="I60" s="11">
        <f t="shared" si="15"/>
        <v>7678.34</v>
      </c>
      <c r="J60" s="11">
        <f>J43</f>
        <v>2253.34</v>
      </c>
      <c r="K60" s="11">
        <f t="shared" si="15"/>
        <v>39672.990000000005</v>
      </c>
      <c r="L60" s="11">
        <f t="shared" si="15"/>
        <v>20769</v>
      </c>
      <c r="M60" s="11">
        <f t="shared" si="15"/>
        <v>56130</v>
      </c>
      <c r="N60" s="11">
        <f t="shared" si="15"/>
        <v>23214</v>
      </c>
      <c r="O60" s="11">
        <f t="shared" si="15"/>
        <v>156387</v>
      </c>
      <c r="P60" s="11">
        <f t="shared" si="15"/>
        <v>57575.380000000005</v>
      </c>
      <c r="Q60" s="11">
        <f t="shared" si="15"/>
        <v>85562</v>
      </c>
      <c r="R60" s="11">
        <f t="shared" si="15"/>
        <v>24014.39</v>
      </c>
      <c r="S60" s="11">
        <f t="shared" si="15"/>
        <v>46365</v>
      </c>
      <c r="T60" s="11">
        <f t="shared" si="15"/>
        <v>562550.21</v>
      </c>
    </row>
    <row r="61" spans="2:21" ht="16.5" x14ac:dyDescent="0.3">
      <c r="B61" s="13" t="s">
        <v>248</v>
      </c>
      <c r="C61" s="14"/>
      <c r="D61" s="14"/>
      <c r="E61" s="14"/>
      <c r="F61" s="1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/>
    </row>
    <row r="62" spans="2:21" x14ac:dyDescent="0.25">
      <c r="B62" s="4"/>
      <c r="C62" s="6" t="s">
        <v>166</v>
      </c>
      <c r="D62" s="6"/>
      <c r="E62" s="6"/>
      <c r="F62" s="7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5"/>
    </row>
    <row r="63" spans="2:21" ht="16.5" x14ac:dyDescent="0.3">
      <c r="B63" s="4"/>
      <c r="C63" s="6"/>
      <c r="D63" s="5" t="s">
        <v>216</v>
      </c>
      <c r="E63" s="6"/>
      <c r="F63" s="7"/>
      <c r="G63" s="138">
        <f>7402.9+67.9</f>
        <v>7470.7999999999993</v>
      </c>
      <c r="H63" s="139"/>
      <c r="I63" s="138">
        <v>11783.68</v>
      </c>
      <c r="J63" s="140">
        <f>541.23+600.45+547.04+735.67+527.29+448.3+489.23+544.17</f>
        <v>4433.38</v>
      </c>
      <c r="K63" s="138">
        <v>7985.36</v>
      </c>
      <c r="L63" s="139"/>
      <c r="M63" s="138">
        <v>7683</v>
      </c>
      <c r="N63" s="138">
        <v>14773</v>
      </c>
      <c r="O63" s="8">
        <v>170436</v>
      </c>
      <c r="P63" s="138">
        <v>14611.36</v>
      </c>
      <c r="Q63" s="11"/>
      <c r="R63" s="8">
        <v>6396.54</v>
      </c>
      <c r="S63" s="9"/>
      <c r="T63" s="9">
        <f>SUM(G63:S63)</f>
        <v>245573.12000000002</v>
      </c>
    </row>
    <row r="64" spans="2:21" ht="16.5" x14ac:dyDescent="0.3">
      <c r="B64" s="4"/>
      <c r="C64" s="6"/>
      <c r="D64" s="5" t="s">
        <v>6</v>
      </c>
      <c r="E64" s="6"/>
      <c r="F64" s="7"/>
      <c r="G64" s="11"/>
      <c r="H64" s="11"/>
      <c r="I64" s="11"/>
      <c r="J64" s="11"/>
      <c r="K64" s="11"/>
      <c r="L64" s="11"/>
      <c r="M64" s="11"/>
      <c r="N64" s="11"/>
      <c r="O64" s="116">
        <f>121774-1520</f>
        <v>120254</v>
      </c>
      <c r="P64" s="11"/>
      <c r="Q64" s="8">
        <v>3991</v>
      </c>
      <c r="R64" s="8">
        <v>110.94</v>
      </c>
      <c r="S64" s="9"/>
      <c r="T64" s="9">
        <f>SUM(G64:S64)</f>
        <v>124355.94</v>
      </c>
    </row>
    <row r="65" spans="2:21" ht="16.5" x14ac:dyDescent="0.3">
      <c r="B65" s="4"/>
      <c r="C65" s="6"/>
      <c r="D65" s="19" t="s">
        <v>3</v>
      </c>
      <c r="E65" s="6"/>
      <c r="F65" s="7"/>
      <c r="G65" s="11"/>
      <c r="H65" s="11"/>
      <c r="I65" s="11"/>
      <c r="J65" s="11"/>
      <c r="K65" s="11"/>
      <c r="L65" s="11"/>
      <c r="M65" s="11"/>
      <c r="N65" s="11"/>
      <c r="P65" s="11"/>
      <c r="Q65" s="8">
        <v>13645</v>
      </c>
      <c r="R65" s="8">
        <v>2956.07</v>
      </c>
      <c r="S65" s="9">
        <v>22306</v>
      </c>
      <c r="T65" s="9">
        <f>SUM(G65:S65)</f>
        <v>38907.07</v>
      </c>
    </row>
    <row r="66" spans="2:21" x14ac:dyDescent="0.25">
      <c r="B66" s="4"/>
      <c r="D66" s="104"/>
      <c r="E66" s="87" t="s">
        <v>172</v>
      </c>
      <c r="F66" s="113"/>
      <c r="G66" s="228">
        <f>SUM(G63:G65)</f>
        <v>7470.7999999999993</v>
      </c>
      <c r="H66" s="228" t="s">
        <v>236</v>
      </c>
      <c r="I66" s="228">
        <f>SUM(I63:I65)</f>
        <v>11783.68</v>
      </c>
      <c r="J66" s="123">
        <f>J63</f>
        <v>4433.38</v>
      </c>
      <c r="K66" s="228">
        <f>SUM(K63:K65)</f>
        <v>7985.36</v>
      </c>
      <c r="L66" s="228" t="s">
        <v>236</v>
      </c>
      <c r="M66" s="228">
        <f t="shared" ref="M66:S66" si="17">SUM(M63:M65)</f>
        <v>7683</v>
      </c>
      <c r="N66" s="228">
        <f t="shared" si="17"/>
        <v>14773</v>
      </c>
      <c r="O66" s="228">
        <f>SUM(O63:O64)</f>
        <v>290690</v>
      </c>
      <c r="P66" s="228">
        <f t="shared" si="17"/>
        <v>14611.36</v>
      </c>
      <c r="Q66" s="228">
        <f t="shared" si="17"/>
        <v>17636</v>
      </c>
      <c r="R66" s="228">
        <f t="shared" si="17"/>
        <v>9463.5499999999993</v>
      </c>
      <c r="S66" s="228">
        <f t="shared" si="17"/>
        <v>22306</v>
      </c>
      <c r="T66" s="228">
        <f>SUM(G66:S66)</f>
        <v>408836.12999999995</v>
      </c>
      <c r="U66" s="34"/>
    </row>
    <row r="67" spans="2:21" ht="16.5" x14ac:dyDescent="0.3">
      <c r="B67" s="17"/>
      <c r="C67" s="18" t="s">
        <v>2</v>
      </c>
      <c r="D67" s="18"/>
      <c r="E67" s="18"/>
      <c r="F67" s="7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7"/>
    </row>
    <row r="68" spans="2:21" ht="16.5" x14ac:dyDescent="0.3">
      <c r="B68" s="17"/>
      <c r="C68" s="18"/>
      <c r="D68" s="19" t="s">
        <v>216</v>
      </c>
      <c r="E68" s="18"/>
      <c r="F68" s="7"/>
      <c r="G68" s="140">
        <f>5150.41</f>
        <v>5150.41</v>
      </c>
      <c r="H68" s="141"/>
      <c r="I68" s="140">
        <v>122.23</v>
      </c>
      <c r="J68" s="141"/>
      <c r="K68" s="140">
        <v>1622.87</v>
      </c>
      <c r="L68" s="141"/>
      <c r="M68" s="140">
        <v>2558</v>
      </c>
      <c r="N68" s="140">
        <v>9562</v>
      </c>
      <c r="O68" s="140">
        <v>26137</v>
      </c>
      <c r="P68" s="140">
        <v>7556.81</v>
      </c>
      <c r="Q68" s="37"/>
      <c r="R68" s="37"/>
      <c r="S68" s="37">
        <v>1845</v>
      </c>
      <c r="T68" s="231">
        <f>SUM(G68:S68)</f>
        <v>54554.319999999992</v>
      </c>
    </row>
    <row r="69" spans="2:21" ht="16.5" x14ac:dyDescent="0.3">
      <c r="B69" s="17"/>
      <c r="C69" s="19"/>
      <c r="D69" s="19" t="s">
        <v>6</v>
      </c>
      <c r="E69" s="18"/>
      <c r="F69" s="7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v>45.55</v>
      </c>
      <c r="S69" s="179"/>
      <c r="T69" s="179">
        <f>SUM(G69:R69)</f>
        <v>45.55</v>
      </c>
    </row>
    <row r="70" spans="2:21" ht="16.5" x14ac:dyDescent="0.3">
      <c r="B70" s="17"/>
      <c r="C70" s="19"/>
      <c r="D70" s="19" t="s">
        <v>3</v>
      </c>
      <c r="E70" s="18"/>
      <c r="F70" s="7"/>
      <c r="G70" s="116"/>
      <c r="H70" s="179"/>
      <c r="I70" s="179"/>
      <c r="J70" s="116"/>
      <c r="K70" s="179"/>
      <c r="L70" s="116"/>
      <c r="M70" s="116"/>
      <c r="N70" s="179"/>
      <c r="O70" s="116"/>
      <c r="P70" s="116"/>
      <c r="Q70" s="116">
        <v>1989</v>
      </c>
      <c r="R70" s="116">
        <v>9.3000000000000007</v>
      </c>
      <c r="S70" s="179"/>
      <c r="T70" s="179">
        <f>SUM(G70:R70)</f>
        <v>1998.3</v>
      </c>
    </row>
    <row r="71" spans="2:21" ht="16.5" x14ac:dyDescent="0.3">
      <c r="B71" s="17"/>
      <c r="C71" s="19"/>
      <c r="D71" s="19" t="s">
        <v>8</v>
      </c>
      <c r="E71" s="18"/>
      <c r="F71" s="7"/>
      <c r="G71" s="116"/>
      <c r="H71" s="116"/>
      <c r="I71" s="116"/>
      <c r="J71" s="116"/>
      <c r="K71" s="116"/>
      <c r="L71" s="116"/>
      <c r="M71" s="116"/>
      <c r="N71" s="179"/>
      <c r="O71" s="116"/>
      <c r="P71" s="116"/>
      <c r="Q71" s="116"/>
      <c r="R71" s="116">
        <v>253.64</v>
      </c>
      <c r="S71" s="116"/>
      <c r="T71" s="116">
        <f>SUM(G71:R71)</f>
        <v>253.64</v>
      </c>
    </row>
    <row r="72" spans="2:21" ht="16.5" x14ac:dyDescent="0.3">
      <c r="B72" s="17"/>
      <c r="C72" s="19"/>
      <c r="D72" s="106"/>
      <c r="E72" s="87" t="s">
        <v>173</v>
      </c>
      <c r="F72" s="88"/>
      <c r="G72" s="123">
        <f>SUM(G68:G71)</f>
        <v>5150.41</v>
      </c>
      <c r="H72" s="228" t="s">
        <v>236</v>
      </c>
      <c r="I72" s="123">
        <f>SUM(I68:I71)</f>
        <v>122.23</v>
      </c>
      <c r="J72" s="228" t="s">
        <v>236</v>
      </c>
      <c r="K72" s="123">
        <f>SUM(K68:K71)</f>
        <v>1622.87</v>
      </c>
      <c r="L72" s="228" t="s">
        <v>236</v>
      </c>
      <c r="M72" s="123">
        <f>SUM(M68:M71)</f>
        <v>2558</v>
      </c>
      <c r="N72" s="123">
        <f>SUM(N68:N71)</f>
        <v>9562</v>
      </c>
      <c r="O72" s="123">
        <f>SUM(O68:O71)</f>
        <v>26137</v>
      </c>
      <c r="P72" s="123">
        <f>SUM(P68:P71)</f>
        <v>7556.81</v>
      </c>
      <c r="Q72" s="123">
        <f>SUM(Q69:Q71)</f>
        <v>1989</v>
      </c>
      <c r="R72" s="123">
        <f>SUM(R69:R71)</f>
        <v>308.49</v>
      </c>
      <c r="S72" s="123">
        <f>SUM(S68:S71)</f>
        <v>1845</v>
      </c>
      <c r="T72" s="123">
        <f>SUM(G72:S72)</f>
        <v>56851.80999999999</v>
      </c>
    </row>
    <row r="73" spans="2:21" x14ac:dyDescent="0.25">
      <c r="B73" s="108"/>
      <c r="C73" s="109"/>
      <c r="D73" s="109"/>
      <c r="E73" s="110" t="s">
        <v>215</v>
      </c>
      <c r="F73" s="111"/>
      <c r="G73" s="112">
        <f>G66+G72</f>
        <v>12621.21</v>
      </c>
      <c r="H73" s="112">
        <f>8080</f>
        <v>8080</v>
      </c>
      <c r="I73" s="112">
        <f>I66+I72</f>
        <v>11905.91</v>
      </c>
      <c r="J73" s="112">
        <f>J66</f>
        <v>4433.38</v>
      </c>
      <c r="K73" s="112">
        <f>K66+K72</f>
        <v>9608.23</v>
      </c>
      <c r="L73" s="112">
        <v>5687.61</v>
      </c>
      <c r="M73" s="112">
        <f t="shared" ref="M73:S73" si="18">M66+M72</f>
        <v>10241</v>
      </c>
      <c r="N73" s="112">
        <f t="shared" si="18"/>
        <v>24335</v>
      </c>
      <c r="O73" s="112">
        <f t="shared" si="18"/>
        <v>316827</v>
      </c>
      <c r="P73" s="112">
        <f t="shared" si="18"/>
        <v>22168.170000000002</v>
      </c>
      <c r="Q73" s="112">
        <f t="shared" si="18"/>
        <v>19625</v>
      </c>
      <c r="R73" s="112">
        <f t="shared" si="18"/>
        <v>9772.0399999999991</v>
      </c>
      <c r="S73" s="112">
        <f t="shared" si="18"/>
        <v>24151</v>
      </c>
      <c r="T73" s="112">
        <f>SUM(G73:S73)</f>
        <v>479455.54999999993</v>
      </c>
      <c r="U73" s="34"/>
    </row>
    <row r="74" spans="2:21" x14ac:dyDescent="0.25">
      <c r="B74" s="302" t="s">
        <v>247</v>
      </c>
      <c r="C74" s="303"/>
      <c r="D74" s="303"/>
      <c r="E74" s="303"/>
      <c r="F74" s="102"/>
      <c r="G74" s="103">
        <f>G59+G73</f>
        <v>18949.537690852248</v>
      </c>
      <c r="H74" s="103">
        <f>H73+H59</f>
        <v>19169.131456371921</v>
      </c>
      <c r="I74" s="103">
        <f>I73+I59</f>
        <v>15001.047125761532</v>
      </c>
      <c r="J74" s="103">
        <f t="shared" ref="J74:O74" si="19">J59+J73</f>
        <v>5109.3820000000005</v>
      </c>
      <c r="K74" s="103">
        <f t="shared" si="19"/>
        <v>26135.182041568747</v>
      </c>
      <c r="L74" s="103">
        <f t="shared" si="19"/>
        <v>14101.324253735987</v>
      </c>
      <c r="M74" s="103">
        <f t="shared" si="19"/>
        <v>33285.330518163151</v>
      </c>
      <c r="N74" s="103">
        <f t="shared" si="19"/>
        <v>33951.442813965674</v>
      </c>
      <c r="O74" s="103">
        <f t="shared" si="19"/>
        <v>392269.92</v>
      </c>
      <c r="P74" s="103">
        <f>P59+P73</f>
        <v>46266.671320705733</v>
      </c>
      <c r="Q74" s="103">
        <f>Q59+Q73</f>
        <v>55299.748479406218</v>
      </c>
      <c r="R74" s="103">
        <f>R59+R73</f>
        <v>19295.457484763872</v>
      </c>
      <c r="S74" s="103">
        <f>S59+S73</f>
        <v>43011.392192277868</v>
      </c>
      <c r="T74" s="103">
        <f>SUM(G74:S74)</f>
        <v>721845.56737757288</v>
      </c>
      <c r="U74" s="34"/>
    </row>
    <row r="75" spans="2:21" x14ac:dyDescent="0.25">
      <c r="S75" t="s">
        <v>202</v>
      </c>
    </row>
  </sheetData>
  <mergeCells count="12">
    <mergeCell ref="B74:E74"/>
    <mergeCell ref="B42:E42"/>
    <mergeCell ref="G24:T24"/>
    <mergeCell ref="G29:T29"/>
    <mergeCell ref="G62:T62"/>
    <mergeCell ref="G67:T67"/>
    <mergeCell ref="B4:E5"/>
    <mergeCell ref="T4:T5"/>
    <mergeCell ref="B6:E6"/>
    <mergeCell ref="B36:E36"/>
    <mergeCell ref="B40:E41"/>
    <mergeCell ref="T40:T4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2"/>
  <sheetViews>
    <sheetView workbookViewId="0">
      <selection activeCell="H12" sqref="H12"/>
    </sheetView>
  </sheetViews>
  <sheetFormatPr defaultRowHeight="15" x14ac:dyDescent="0.25"/>
  <cols>
    <col min="1" max="2" width="4.7109375" customWidth="1"/>
    <col min="3" max="4" width="5.7109375" customWidth="1"/>
    <col min="5" max="5" width="13.7109375" hidden="1" customWidth="1"/>
    <col min="6" max="6" width="13.7109375" customWidth="1"/>
    <col min="7" max="7" width="16.140625" customWidth="1"/>
    <col min="8" max="8" width="18.42578125" customWidth="1"/>
    <col min="9" max="9" width="18.85546875" customWidth="1"/>
    <col min="10" max="10" width="18.85546875" style="36" customWidth="1"/>
    <col min="11" max="11" width="25.140625" customWidth="1"/>
    <col min="12" max="15" width="4.7109375" customWidth="1"/>
    <col min="16" max="17" width="5.7109375" customWidth="1"/>
    <col min="18" max="18" width="13.7109375" hidden="1" customWidth="1"/>
    <col min="19" max="22" width="13.7109375" customWidth="1"/>
    <col min="23" max="23" width="18.85546875" customWidth="1"/>
    <col min="24" max="24" width="13.7109375" customWidth="1"/>
    <col min="28" max="28" width="12.5703125" customWidth="1"/>
  </cols>
  <sheetData>
    <row r="1" spans="1:28" x14ac:dyDescent="0.25">
      <c r="A1" s="29" t="s">
        <v>10</v>
      </c>
      <c r="L1" s="30"/>
      <c r="N1" s="31" t="s">
        <v>11</v>
      </c>
    </row>
    <row r="2" spans="1:28" x14ac:dyDescent="0.25">
      <c r="L2" s="30"/>
    </row>
    <row r="3" spans="1:28" ht="16.5" x14ac:dyDescent="0.3">
      <c r="B3" s="10"/>
      <c r="C3" s="10"/>
      <c r="D3" s="10"/>
      <c r="E3" s="10"/>
      <c r="F3" s="10"/>
      <c r="G3" s="10"/>
      <c r="H3" s="10"/>
      <c r="I3" s="10"/>
      <c r="J3" s="40"/>
      <c r="K3" s="10"/>
      <c r="L3" s="30"/>
      <c r="O3" s="32" t="s">
        <v>12</v>
      </c>
      <c r="P3" s="10"/>
      <c r="Q3" s="10"/>
      <c r="R3" s="10"/>
      <c r="S3" s="10"/>
      <c r="T3" s="10"/>
      <c r="U3" s="10"/>
      <c r="V3" s="10"/>
      <c r="W3" s="10"/>
      <c r="X3" s="10"/>
    </row>
    <row r="4" spans="1:28" ht="16.5" x14ac:dyDescent="0.3">
      <c r="B4" s="32" t="s">
        <v>190</v>
      </c>
      <c r="C4" s="10"/>
      <c r="D4" s="10"/>
      <c r="E4" s="10"/>
      <c r="F4" s="10"/>
      <c r="G4" s="10"/>
      <c r="H4" s="10"/>
      <c r="I4" s="10"/>
      <c r="J4" s="40"/>
      <c r="K4" s="10"/>
      <c r="L4" s="3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8" ht="15.95" customHeight="1" x14ac:dyDescent="0.3">
      <c r="B5" s="10"/>
      <c r="C5" s="10"/>
      <c r="D5" s="10"/>
      <c r="E5" s="10"/>
      <c r="F5" s="10"/>
      <c r="G5" s="10"/>
      <c r="H5" s="10"/>
      <c r="I5" s="10"/>
      <c r="J5" s="40"/>
      <c r="K5" s="10"/>
      <c r="L5" s="30"/>
      <c r="O5" s="10"/>
      <c r="P5" s="315" t="s">
        <v>13</v>
      </c>
      <c r="Q5" s="316"/>
      <c r="R5" s="312" t="s">
        <v>14</v>
      </c>
      <c r="S5" s="312" t="s">
        <v>15</v>
      </c>
      <c r="T5" s="312" t="s">
        <v>16</v>
      </c>
      <c r="U5" s="312" t="s">
        <v>17</v>
      </c>
      <c r="V5" s="312" t="s">
        <v>18</v>
      </c>
      <c r="W5" s="312" t="s">
        <v>210</v>
      </c>
      <c r="X5" s="312" t="s">
        <v>19</v>
      </c>
    </row>
    <row r="6" spans="1:28" ht="42.75" customHeight="1" x14ac:dyDescent="0.3">
      <c r="B6" s="10"/>
      <c r="C6" s="315" t="s">
        <v>13</v>
      </c>
      <c r="D6" s="316"/>
      <c r="E6" s="312" t="s">
        <v>14</v>
      </c>
      <c r="F6" s="312" t="s">
        <v>15</v>
      </c>
      <c r="G6" s="312" t="s">
        <v>16</v>
      </c>
      <c r="H6" s="312" t="s">
        <v>17</v>
      </c>
      <c r="I6" s="312" t="s">
        <v>18</v>
      </c>
      <c r="J6" s="312" t="s">
        <v>210</v>
      </c>
      <c r="K6" s="312" t="s">
        <v>19</v>
      </c>
      <c r="L6" s="30"/>
      <c r="O6" s="10"/>
      <c r="P6" s="317"/>
      <c r="Q6" s="318"/>
      <c r="R6" s="313"/>
      <c r="S6" s="313"/>
      <c r="T6" s="313"/>
      <c r="U6" s="313"/>
      <c r="V6" s="313"/>
      <c r="W6" s="313"/>
      <c r="X6" s="313"/>
      <c r="AA6" s="57"/>
      <c r="AB6" s="57"/>
    </row>
    <row r="7" spans="1:28" ht="16.5" customHeight="1" x14ac:dyDescent="0.3">
      <c r="B7" s="10"/>
      <c r="C7" s="317"/>
      <c r="D7" s="318"/>
      <c r="E7" s="313"/>
      <c r="F7" s="313"/>
      <c r="G7" s="313"/>
      <c r="H7" s="313"/>
      <c r="I7" s="313"/>
      <c r="J7" s="313"/>
      <c r="K7" s="313"/>
      <c r="L7" s="30"/>
      <c r="O7" s="10"/>
      <c r="P7" s="314">
        <v>2019</v>
      </c>
      <c r="Q7" s="314"/>
      <c r="R7" s="33">
        <f>'[1]Population Projections'!$C$15</f>
        <v>446539</v>
      </c>
      <c r="S7" s="67">
        <v>1.170199730425193E-3</v>
      </c>
      <c r="T7" s="37">
        <f>'Waste by Jurisdiction'!T13</f>
        <v>69019.584017224537</v>
      </c>
      <c r="U7" s="37">
        <f>'Waste by Jurisdiction'!T28</f>
        <v>440346.94</v>
      </c>
      <c r="V7" s="37">
        <f>SUM(T7:U7)</f>
        <v>509366.52401722455</v>
      </c>
      <c r="W7" s="119"/>
      <c r="X7" s="126">
        <f>U7/V7</f>
        <v>0.864499175421095</v>
      </c>
      <c r="AB7" s="118"/>
    </row>
    <row r="8" spans="1:28" ht="16.5" x14ac:dyDescent="0.3">
      <c r="B8" s="10"/>
      <c r="C8" s="314">
        <v>2019</v>
      </c>
      <c r="D8" s="314"/>
      <c r="E8" s="33">
        <f>'[1]Population Projections'!$C$15</f>
        <v>446539</v>
      </c>
      <c r="F8" s="67">
        <v>1.170199730425193E-3</v>
      </c>
      <c r="G8" s="94">
        <f>'Waste by Jurisdiction'!G21</f>
        <v>6309.7174910638169</v>
      </c>
      <c r="H8" s="94">
        <f>'Waste by Jurisdiction'!G35</f>
        <v>14230.31</v>
      </c>
      <c r="I8" s="94">
        <f>SUM(G8:H8)</f>
        <v>20540.027491063818</v>
      </c>
      <c r="J8" s="119"/>
      <c r="K8" s="125">
        <f>H8/I8</f>
        <v>0.6928087124611233</v>
      </c>
      <c r="L8" s="30"/>
      <c r="O8" s="10"/>
      <c r="P8" s="314">
        <f t="shared" ref="P8:P13" si="0">P7+1</f>
        <v>2020</v>
      </c>
      <c r="Q8" s="314"/>
      <c r="R8" s="33">
        <f>'[1]Population Projections'!$C$16</f>
        <v>448732</v>
      </c>
      <c r="S8" s="67">
        <v>6.7263933680515185E-4</v>
      </c>
      <c r="T8" s="308" t="s">
        <v>260</v>
      </c>
      <c r="U8" s="309"/>
      <c r="V8" s="309"/>
      <c r="W8" s="309"/>
      <c r="X8" s="310"/>
      <c r="AB8" s="118"/>
    </row>
    <row r="9" spans="1:28" ht="16.5" x14ac:dyDescent="0.3">
      <c r="B9" s="10"/>
      <c r="C9" s="314">
        <f t="shared" ref="C9:C14" si="1">C8+1</f>
        <v>2020</v>
      </c>
      <c r="D9" s="314"/>
      <c r="E9" s="33">
        <f>'[1]Population Projections'!$C$16</f>
        <v>448732</v>
      </c>
      <c r="F9" s="67">
        <v>6.7263933680515185E-4</v>
      </c>
      <c r="L9" s="30"/>
      <c r="O9" s="10"/>
      <c r="P9" s="314">
        <f t="shared" si="0"/>
        <v>2021</v>
      </c>
      <c r="Q9" s="314"/>
      <c r="R9" s="33">
        <f>'[1]Population Projections'!$C$17</f>
        <v>451008</v>
      </c>
      <c r="S9" s="67">
        <v>6.4089660293204084E-3</v>
      </c>
      <c r="T9" s="37">
        <f>'Waste by Jurisdiction'!T50</f>
        <v>86988.13602707973</v>
      </c>
      <c r="U9" s="37">
        <f>'Waste by Jurisdiction'!T66</f>
        <v>408836.12999999995</v>
      </c>
      <c r="V9" s="37">
        <f>SUM(T9:U9)</f>
        <v>495824.26602707966</v>
      </c>
      <c r="W9" s="119"/>
      <c r="X9" s="126">
        <f>U9/V9</f>
        <v>0.82455853416756975</v>
      </c>
      <c r="AB9" s="118"/>
    </row>
    <row r="10" spans="1:28" ht="16.5" x14ac:dyDescent="0.3">
      <c r="B10" s="10"/>
      <c r="C10" s="314">
        <f t="shared" si="1"/>
        <v>2021</v>
      </c>
      <c r="D10" s="314"/>
      <c r="E10" s="33">
        <f>'[1]Population Projections'!$C$17</f>
        <v>451008</v>
      </c>
      <c r="F10" s="67">
        <v>6.4089660293204084E-3</v>
      </c>
      <c r="G10" s="37">
        <f>'Waste by Jurisdiction'!G59</f>
        <v>6328.3276908522494</v>
      </c>
      <c r="H10" s="94">
        <f>'Waste by Jurisdiction'!G73</f>
        <v>12621.21</v>
      </c>
      <c r="I10" s="37">
        <f>SUM(G10:H10)</f>
        <v>18949.537690852248</v>
      </c>
      <c r="J10" s="119"/>
      <c r="K10" s="125">
        <f>H10/I10</f>
        <v>0.66604316189163792</v>
      </c>
      <c r="L10" s="30"/>
      <c r="O10" s="10"/>
      <c r="P10" s="314">
        <f t="shared" si="0"/>
        <v>2022</v>
      </c>
      <c r="Q10" s="314"/>
      <c r="R10" s="33">
        <f>'[1]Population Projections'!$C$18</f>
        <v>453448</v>
      </c>
      <c r="S10" s="67">
        <v>6.6188076221360146E-3</v>
      </c>
      <c r="T10" s="37">
        <f>V10-U10</f>
        <v>87563.893764851149</v>
      </c>
      <c r="U10" s="37">
        <f>U9*(1+S10)</f>
        <v>411542.13769344857</v>
      </c>
      <c r="V10" s="37">
        <f>V9*(1+S10)</f>
        <v>499106.03145829972</v>
      </c>
      <c r="W10" s="119">
        <v>0</v>
      </c>
      <c r="X10" s="126">
        <f t="shared" ref="X10:X13" si="2">U10/V10</f>
        <v>0.82455853416756975</v>
      </c>
      <c r="AB10" s="118"/>
    </row>
    <row r="11" spans="1:28" ht="16.5" x14ac:dyDescent="0.3">
      <c r="B11" s="10"/>
      <c r="C11" s="314">
        <f t="shared" si="1"/>
        <v>2022</v>
      </c>
      <c r="D11" s="314"/>
      <c r="E11" s="33">
        <f>'[1]Population Projections'!$C$18</f>
        <v>453448</v>
      </c>
      <c r="F11" s="67">
        <v>6.6188076221360146E-3</v>
      </c>
      <c r="G11" s="37">
        <f>I11-H11</f>
        <v>5980.455660356416</v>
      </c>
      <c r="H11" s="37">
        <f>H10*(1+J11)</f>
        <v>13094.505375000001</v>
      </c>
      <c r="I11" s="37">
        <f>I10*(1+F11)</f>
        <v>19074.961035356417</v>
      </c>
      <c r="J11" s="124">
        <v>3.7499999999999999E-2</v>
      </c>
      <c r="K11" s="125">
        <f>H11/I11</f>
        <v>0.68647612704050431</v>
      </c>
      <c r="L11" s="30"/>
      <c r="O11" s="10"/>
      <c r="P11" s="314">
        <f t="shared" si="0"/>
        <v>2023</v>
      </c>
      <c r="Q11" s="314"/>
      <c r="R11" s="33">
        <f>'[1]Population Projections'!$C$19</f>
        <v>455863</v>
      </c>
      <c r="S11" s="67">
        <v>6.7609102680318608E-3</v>
      </c>
      <c r="T11" s="37">
        <f t="shared" ref="T11:T13" si="3">V11-U11</f>
        <v>88155.905393314781</v>
      </c>
      <c r="U11" s="37">
        <f t="shared" ref="U11:U13" si="4">U10*(1+S11)</f>
        <v>414324.53715790802</v>
      </c>
      <c r="V11" s="37">
        <f t="shared" ref="V11:V13" si="5">V10*(1+S11)</f>
        <v>502480.4425512228</v>
      </c>
      <c r="W11" s="119">
        <v>0</v>
      </c>
      <c r="X11" s="126">
        <f t="shared" si="2"/>
        <v>0.82455853416756975</v>
      </c>
      <c r="AB11" s="118"/>
    </row>
    <row r="12" spans="1:28" ht="16.5" x14ac:dyDescent="0.3">
      <c r="B12" s="10"/>
      <c r="C12" s="314">
        <f t="shared" si="1"/>
        <v>2023</v>
      </c>
      <c r="D12" s="314"/>
      <c r="E12" s="33">
        <f>'[1]Population Projections'!$C$19</f>
        <v>455863</v>
      </c>
      <c r="F12" s="67">
        <v>6.7609102680318608E-3</v>
      </c>
      <c r="G12" s="37">
        <f>I12-H12</f>
        <v>5618.3758087201677</v>
      </c>
      <c r="H12" s="37">
        <f t="shared" ref="H12:H14" si="6">H11*(1+J12)</f>
        <v>13585.549326562501</v>
      </c>
      <c r="I12" s="37">
        <f t="shared" ref="I12:I14" si="7">I11*(1+F12)</f>
        <v>19203.925135282669</v>
      </c>
      <c r="J12" s="124">
        <v>3.7499999999999999E-2</v>
      </c>
      <c r="K12" s="125">
        <f>H12/I12</f>
        <v>0.70743607001478404</v>
      </c>
      <c r="L12" s="30"/>
      <c r="O12" s="10"/>
      <c r="P12" s="314">
        <f t="shared" si="0"/>
        <v>2024</v>
      </c>
      <c r="Q12" s="314"/>
      <c r="R12" s="33">
        <f>'[1]Population Projections'!$C$20</f>
        <v>458496</v>
      </c>
      <c r="S12" s="67">
        <v>7.2426546640297637E-3</v>
      </c>
      <c r="T12" s="37">
        <f t="shared" si="3"/>
        <v>88794.388172673411</v>
      </c>
      <c r="U12" s="37">
        <f t="shared" si="4"/>
        <v>417325.34669937677</v>
      </c>
      <c r="V12" s="37">
        <f t="shared" si="5"/>
        <v>506119.73487205018</v>
      </c>
      <c r="W12" s="119">
        <v>0</v>
      </c>
      <c r="X12" s="126">
        <f t="shared" si="2"/>
        <v>0.82455853416756986</v>
      </c>
      <c r="AB12" s="118"/>
    </row>
    <row r="13" spans="1:28" ht="16.5" x14ac:dyDescent="0.3">
      <c r="B13" s="10"/>
      <c r="C13" s="314">
        <f t="shared" si="1"/>
        <v>2024</v>
      </c>
      <c r="D13" s="314"/>
      <c r="E13" s="33">
        <f>'[1]Population Projections'!$C$20</f>
        <v>458496</v>
      </c>
      <c r="F13" s="67">
        <v>7.2426546640297637E-3</v>
      </c>
      <c r="G13" s="37">
        <f>I13-H13</f>
        <v>5248.0051069228066</v>
      </c>
      <c r="H13" s="37">
        <f t="shared" si="6"/>
        <v>14095.007426308595</v>
      </c>
      <c r="I13" s="37">
        <f>I12*(1+F13)</f>
        <v>19343.012533231402</v>
      </c>
      <c r="J13" s="124">
        <v>3.7499999999999999E-2</v>
      </c>
      <c r="K13" s="125">
        <f>H13/I13</f>
        <v>0.72868729222468809</v>
      </c>
      <c r="L13" s="30"/>
      <c r="M13" s="34"/>
      <c r="O13" s="10"/>
      <c r="P13" s="314">
        <f t="shared" si="0"/>
        <v>2025</v>
      </c>
      <c r="Q13" s="314"/>
      <c r="R13" s="33">
        <f>'[1]Population Projections'!$C$21</f>
        <v>461159</v>
      </c>
      <c r="S13" s="67">
        <v>7.5026056225887755E-3</v>
      </c>
      <c r="T13" s="37">
        <f t="shared" si="3"/>
        <v>89460.577448632044</v>
      </c>
      <c r="U13" s="37">
        <f t="shared" si="4"/>
        <v>420456.37419197237</v>
      </c>
      <c r="V13" s="37">
        <f t="shared" si="5"/>
        <v>509916.95164060441</v>
      </c>
      <c r="W13" s="119">
        <v>0</v>
      </c>
      <c r="X13" s="126">
        <f t="shared" si="2"/>
        <v>0.82455853416756986</v>
      </c>
    </row>
    <row r="14" spans="1:28" ht="16.5" x14ac:dyDescent="0.3">
      <c r="B14" s="10"/>
      <c r="C14" s="314">
        <f t="shared" si="1"/>
        <v>2025</v>
      </c>
      <c r="D14" s="314"/>
      <c r="E14" s="33">
        <f>'[1]Population Projections'!$C$21</f>
        <v>461159</v>
      </c>
      <c r="F14" s="67">
        <v>7.5026056225887755E-3</v>
      </c>
      <c r="G14" s="37">
        <f>I14-H14</f>
        <v>4864.5653230258631</v>
      </c>
      <c r="H14" s="37">
        <f t="shared" si="6"/>
        <v>14623.570204795169</v>
      </c>
      <c r="I14" s="37">
        <f t="shared" si="7"/>
        <v>19488.135527821032</v>
      </c>
      <c r="J14" s="124">
        <v>3.7499999999999999E-2</v>
      </c>
      <c r="K14" s="125">
        <f>H14/I14</f>
        <v>0.75038323619613245</v>
      </c>
      <c r="L14" s="30"/>
      <c r="O14" s="10"/>
      <c r="P14" s="35" t="s">
        <v>20</v>
      </c>
      <c r="Q14" s="10"/>
      <c r="R14" s="10"/>
      <c r="S14" s="10"/>
      <c r="T14" s="10"/>
      <c r="U14" s="10"/>
      <c r="V14" s="10"/>
      <c r="W14" s="10"/>
      <c r="X14" s="10"/>
    </row>
    <row r="15" spans="1:28" ht="16.5" x14ac:dyDescent="0.3">
      <c r="B15" s="10"/>
      <c r="C15" s="35" t="s">
        <v>20</v>
      </c>
      <c r="D15" s="10"/>
      <c r="E15" s="10"/>
      <c r="F15" s="10"/>
      <c r="G15" s="10"/>
      <c r="H15" s="10"/>
      <c r="I15" s="10"/>
      <c r="J15" s="40"/>
      <c r="K15" s="10"/>
      <c r="L15" s="30"/>
      <c r="O15" s="10"/>
      <c r="P15" s="35" t="s">
        <v>209</v>
      </c>
      <c r="Q15" s="10"/>
      <c r="R15" s="10"/>
      <c r="S15" s="10"/>
      <c r="T15" s="10"/>
      <c r="U15" s="10"/>
      <c r="V15" s="10"/>
      <c r="W15" s="275"/>
      <c r="X15" s="10"/>
    </row>
    <row r="16" spans="1:28" ht="16.5" x14ac:dyDescent="0.3">
      <c r="B16" s="10"/>
      <c r="C16" s="35" t="s">
        <v>209</v>
      </c>
      <c r="D16" s="10"/>
      <c r="E16" s="10"/>
      <c r="F16" s="10"/>
      <c r="G16" s="10"/>
      <c r="H16" s="10"/>
      <c r="I16" s="10"/>
      <c r="J16" s="40"/>
      <c r="K16" s="10"/>
      <c r="L16" s="30"/>
    </row>
    <row r="17" spans="2:26" ht="16.5" x14ac:dyDescent="0.3">
      <c r="G17" s="34"/>
      <c r="L17" s="30"/>
      <c r="O17" s="32" t="s">
        <v>21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2:26" ht="24.95" customHeight="1" x14ac:dyDescent="0.3">
      <c r="B18" s="32" t="s">
        <v>213</v>
      </c>
      <c r="C18" s="10"/>
      <c r="D18" s="10"/>
      <c r="E18" s="10"/>
      <c r="F18" s="10"/>
      <c r="G18" s="10"/>
      <c r="H18" s="10"/>
      <c r="I18" s="10"/>
      <c r="J18" s="40"/>
      <c r="K18" s="10"/>
      <c r="L18" s="3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2:26" ht="24.95" customHeight="1" x14ac:dyDescent="0.3">
      <c r="B19" s="10"/>
      <c r="C19" s="10"/>
      <c r="D19" s="10"/>
      <c r="E19" s="10"/>
      <c r="F19" s="10"/>
      <c r="G19" s="10"/>
      <c r="H19" s="10"/>
      <c r="I19" s="10"/>
      <c r="J19" s="40"/>
      <c r="K19" s="10"/>
      <c r="L19" s="30"/>
      <c r="O19" s="10"/>
      <c r="P19" s="315" t="s">
        <v>13</v>
      </c>
      <c r="Q19" s="316"/>
      <c r="R19" s="312" t="s">
        <v>14</v>
      </c>
      <c r="S19" s="312" t="s">
        <v>15</v>
      </c>
      <c r="T19" s="312" t="s">
        <v>16</v>
      </c>
      <c r="U19" s="312" t="s">
        <v>17</v>
      </c>
      <c r="V19" s="312" t="s">
        <v>18</v>
      </c>
      <c r="W19" s="312" t="s">
        <v>210</v>
      </c>
      <c r="X19" s="312" t="s">
        <v>19</v>
      </c>
    </row>
    <row r="20" spans="2:26" ht="16.5" x14ac:dyDescent="0.3">
      <c r="B20" s="10"/>
      <c r="C20" s="315" t="s">
        <v>13</v>
      </c>
      <c r="D20" s="316"/>
      <c r="E20" s="312" t="s">
        <v>14</v>
      </c>
      <c r="F20" s="312" t="s">
        <v>15</v>
      </c>
      <c r="G20" s="312" t="s">
        <v>16</v>
      </c>
      <c r="H20" s="312" t="s">
        <v>17</v>
      </c>
      <c r="I20" s="312" t="s">
        <v>18</v>
      </c>
      <c r="J20" s="312" t="s">
        <v>210</v>
      </c>
      <c r="K20" s="312" t="s">
        <v>208</v>
      </c>
      <c r="L20" s="30"/>
      <c r="O20" s="10"/>
      <c r="P20" s="317"/>
      <c r="Q20" s="318"/>
      <c r="R20" s="313"/>
      <c r="S20" s="313"/>
      <c r="T20" s="313"/>
      <c r="U20" s="313"/>
      <c r="V20" s="313"/>
      <c r="W20" s="313"/>
      <c r="X20" s="313"/>
    </row>
    <row r="21" spans="2:26" ht="28.5" customHeight="1" x14ac:dyDescent="0.3">
      <c r="B21" s="10"/>
      <c r="C21" s="317"/>
      <c r="D21" s="318"/>
      <c r="E21" s="313"/>
      <c r="F21" s="313"/>
      <c r="G21" s="313"/>
      <c r="H21" s="313"/>
      <c r="I21" s="313"/>
      <c r="J21" s="313"/>
      <c r="K21" s="313"/>
      <c r="L21" s="30"/>
      <c r="O21" s="10"/>
      <c r="P21" s="314">
        <v>2019</v>
      </c>
      <c r="Q21" s="314"/>
      <c r="R21" s="33">
        <f>'[1]Population Projections'!$C$15</f>
        <v>446539</v>
      </c>
      <c r="S21" s="67">
        <v>1.170199730425193E-3</v>
      </c>
      <c r="T21" s="37">
        <f>'Waste by Jurisdiction'!T20</f>
        <v>105831.69446743806</v>
      </c>
      <c r="U21" s="37">
        <f>'Waste by Jurisdiction'!T34</f>
        <v>87507.33</v>
      </c>
      <c r="V21" s="37">
        <f>SUM(T21:U21)</f>
        <v>193339.02446743805</v>
      </c>
      <c r="W21" s="119"/>
      <c r="X21" s="126">
        <f>U21/V21</f>
        <v>0.45261079723063302</v>
      </c>
    </row>
    <row r="22" spans="2:26" ht="16.5" x14ac:dyDescent="0.3">
      <c r="B22" s="10"/>
      <c r="C22" s="314">
        <v>2019</v>
      </c>
      <c r="D22" s="314"/>
      <c r="E22" s="33">
        <f>'[1]Population Projections'!$C$15</f>
        <v>446539</v>
      </c>
      <c r="F22" s="67">
        <v>1.170199730425193E-3</v>
      </c>
      <c r="G22" s="94">
        <f>'Waste by Jurisdiction'!H21</f>
        <v>9549.5689738878973</v>
      </c>
      <c r="H22" s="94">
        <f>'Waste by Jurisdiction'!H35</f>
        <v>7889.41</v>
      </c>
      <c r="I22" s="94">
        <f>SUM(G22:H22)</f>
        <v>17438.978973887897</v>
      </c>
      <c r="J22" s="132"/>
      <c r="K22" s="125">
        <f>H22/I22</f>
        <v>0.45240091245096054</v>
      </c>
      <c r="L22" s="30"/>
      <c r="O22" s="10"/>
      <c r="P22" s="314">
        <f t="shared" ref="P22:P27" si="8">P21+1</f>
        <v>2020</v>
      </c>
      <c r="Q22" s="314"/>
      <c r="R22" s="33">
        <f>'[1]Population Projections'!$C$16</f>
        <v>448732</v>
      </c>
      <c r="S22" s="67">
        <v>6.7263933680515185E-4</v>
      </c>
      <c r="T22" s="308" t="s">
        <v>260</v>
      </c>
      <c r="U22" s="309"/>
      <c r="V22" s="309"/>
      <c r="W22" s="309"/>
      <c r="X22" s="310"/>
    </row>
    <row r="23" spans="2:26" ht="16.5" x14ac:dyDescent="0.3">
      <c r="B23" s="10"/>
      <c r="C23" s="314">
        <f t="shared" ref="C23:C28" si="9">C22+1</f>
        <v>2020</v>
      </c>
      <c r="D23" s="314"/>
      <c r="E23" s="33">
        <f>'[1]Population Projections'!$C$16</f>
        <v>448732</v>
      </c>
      <c r="F23" s="67">
        <v>6.7263933680515185E-4</v>
      </c>
      <c r="G23" s="308" t="s">
        <v>260</v>
      </c>
      <c r="H23" s="309"/>
      <c r="I23" s="309"/>
      <c r="J23" s="309"/>
      <c r="K23" s="310"/>
      <c r="L23" s="30"/>
      <c r="O23" s="10"/>
      <c r="P23" s="314">
        <f t="shared" si="8"/>
        <v>2021</v>
      </c>
      <c r="Q23" s="314"/>
      <c r="R23" s="33">
        <f>'[1]Population Projections'!$C$17</f>
        <v>451008</v>
      </c>
      <c r="S23" s="67">
        <v>6.4089660293204084E-3</v>
      </c>
      <c r="T23" s="37">
        <f>'Waste by Jurisdiction'!T58</f>
        <v>155401.88135049323</v>
      </c>
      <c r="U23" s="37">
        <f>'Waste by Jurisdiction'!T72</f>
        <v>56851.80999999999</v>
      </c>
      <c r="V23" s="37">
        <f>SUM(T23:U23)</f>
        <v>212253.69135049323</v>
      </c>
      <c r="W23" s="119"/>
      <c r="X23" s="126">
        <f>U23/V23</f>
        <v>0.26784839235667729</v>
      </c>
    </row>
    <row r="24" spans="2:26" ht="16.5" x14ac:dyDescent="0.3">
      <c r="B24" s="10"/>
      <c r="C24" s="314">
        <f t="shared" si="9"/>
        <v>2021</v>
      </c>
      <c r="D24" s="314"/>
      <c r="E24" s="33">
        <f>'[1]Population Projections'!$C$17</f>
        <v>451008</v>
      </c>
      <c r="F24" s="67">
        <v>6.4089660293204084E-3</v>
      </c>
      <c r="G24" s="94">
        <f>'Waste by Jurisdiction'!H59</f>
        <v>11089.131456371921</v>
      </c>
      <c r="H24" s="94">
        <f>'Waste by Jurisdiction'!H73</f>
        <v>8080</v>
      </c>
      <c r="I24" s="94">
        <f>SUM(G24:H24)</f>
        <v>19169.131456371921</v>
      </c>
      <c r="J24" s="132"/>
      <c r="K24" s="125">
        <f>H24/I24</f>
        <v>0.42151101203462016</v>
      </c>
      <c r="L24" s="30"/>
      <c r="O24" s="10"/>
      <c r="P24" s="314">
        <f t="shared" si="8"/>
        <v>2022</v>
      </c>
      <c r="Q24" s="314"/>
      <c r="R24" s="33">
        <f>'[1]Population Projections'!$C$18</f>
        <v>453448</v>
      </c>
      <c r="S24" s="67">
        <v>6.6188076221360146E-3</v>
      </c>
      <c r="T24" s="37">
        <f>V24-U24</f>
        <v>144299.3495006304</v>
      </c>
      <c r="U24" s="37">
        <f>U23*(1+W24)</f>
        <v>69359.208199999994</v>
      </c>
      <c r="V24" s="37">
        <f>V23*(1+S24)</f>
        <v>213658.55770063039</v>
      </c>
      <c r="W24" s="119">
        <v>0.22</v>
      </c>
      <c r="X24" s="126">
        <f t="shared" ref="X24:X27" si="10">U24/V24</f>
        <v>0.32462639899115703</v>
      </c>
    </row>
    <row r="25" spans="2:26" ht="16.5" x14ac:dyDescent="0.3">
      <c r="B25" s="10"/>
      <c r="C25" s="314">
        <f t="shared" si="9"/>
        <v>2022</v>
      </c>
      <c r="D25" s="314"/>
      <c r="E25" s="33">
        <f>'[1]Population Projections'!$C$18</f>
        <v>453448</v>
      </c>
      <c r="F25" s="67">
        <v>6.6188076221360146E-3</v>
      </c>
      <c r="G25" s="94">
        <f>I25-H25</f>
        <v>9903.0082497650837</v>
      </c>
      <c r="H25" s="94">
        <f>H24*(1+J25)</f>
        <v>9393</v>
      </c>
      <c r="I25" s="94">
        <f>I24*(1+F25)</f>
        <v>19296.008249765084</v>
      </c>
      <c r="J25" s="132">
        <v>0.16250000000000001</v>
      </c>
      <c r="K25" s="125">
        <f t="shared" ref="K25:K28" si="11">H25/I25</f>
        <v>0.48678461775193083</v>
      </c>
      <c r="L25" s="30"/>
      <c r="O25" s="10"/>
      <c r="P25" s="314">
        <f t="shared" si="8"/>
        <v>2023</v>
      </c>
      <c r="Q25" s="314"/>
      <c r="R25" s="33">
        <f>'[1]Population Projections'!$C$19</f>
        <v>455863</v>
      </c>
      <c r="S25" s="67">
        <v>6.7609102680318608E-3</v>
      </c>
      <c r="T25" s="37">
        <f t="shared" ref="T25:T27" si="12">V25-U25</f>
        <v>130484.85003324148</v>
      </c>
      <c r="U25" s="37">
        <f t="shared" ref="U25:U27" si="13">U24*(1+W25)</f>
        <v>84618.234003999984</v>
      </c>
      <c r="V25" s="37">
        <f t="shared" ref="V25:V27" si="14">V24*(1+S25)</f>
        <v>215103.08403724147</v>
      </c>
      <c r="W25" s="119">
        <v>0.22</v>
      </c>
      <c r="X25" s="126">
        <f t="shared" si="10"/>
        <v>0.39338456899739183</v>
      </c>
    </row>
    <row r="26" spans="2:26" ht="16.5" x14ac:dyDescent="0.3">
      <c r="B26" s="10"/>
      <c r="C26" s="314">
        <f t="shared" si="9"/>
        <v>2023</v>
      </c>
      <c r="D26" s="314"/>
      <c r="E26" s="33">
        <f>'[1]Population Projections'!$C$19</f>
        <v>455863</v>
      </c>
      <c r="F26" s="67">
        <v>6.7609102680318608E-3</v>
      </c>
      <c r="G26" s="94">
        <f t="shared" ref="G26:G28" si="15">I26-H26</f>
        <v>8507.1043300729489</v>
      </c>
      <c r="H26" s="94">
        <f t="shared" ref="H26:H28" si="16">H25*(1+J26)</f>
        <v>10919.362500000001</v>
      </c>
      <c r="I26" s="94">
        <f t="shared" ref="I26:I28" si="17">I25*(1+F26)</f>
        <v>19426.46683007295</v>
      </c>
      <c r="J26" s="132">
        <v>0.16250000000000001</v>
      </c>
      <c r="K26" s="125">
        <f t="shared" si="11"/>
        <v>0.56208689904931086</v>
      </c>
      <c r="L26" s="30"/>
      <c r="O26" s="10"/>
      <c r="P26" s="314">
        <f t="shared" si="8"/>
        <v>2024</v>
      </c>
      <c r="Q26" s="314"/>
      <c r="R26" s="33">
        <f>'[1]Population Projections'!$C$20</f>
        <v>458496</v>
      </c>
      <c r="S26" s="67">
        <v>7.2426546640297637E-3</v>
      </c>
      <c r="T26" s="37">
        <f t="shared" si="12"/>
        <v>113426.755907211</v>
      </c>
      <c r="U26" s="37">
        <f t="shared" si="13"/>
        <v>103234.24548487998</v>
      </c>
      <c r="V26" s="37">
        <f t="shared" si="14"/>
        <v>216661.00139209098</v>
      </c>
      <c r="W26" s="119">
        <v>0.22</v>
      </c>
      <c r="X26" s="126">
        <f t="shared" si="10"/>
        <v>0.4764782070680878</v>
      </c>
    </row>
    <row r="27" spans="2:26" ht="16.5" x14ac:dyDescent="0.3">
      <c r="B27" s="10"/>
      <c r="C27" s="314">
        <f t="shared" si="9"/>
        <v>2024</v>
      </c>
      <c r="D27" s="314"/>
      <c r="E27" s="33">
        <f>'[1]Population Projections'!$C$20</f>
        <v>458496</v>
      </c>
      <c r="F27" s="67">
        <v>7.2426546640297637E-3</v>
      </c>
      <c r="G27" s="94">
        <f t="shared" si="15"/>
        <v>6873.407114415395</v>
      </c>
      <c r="H27" s="94">
        <f t="shared" si="16"/>
        <v>12693.758906250003</v>
      </c>
      <c r="I27" s="94">
        <f t="shared" si="17"/>
        <v>19567.166020665398</v>
      </c>
      <c r="J27" s="132">
        <v>0.16250000000000001</v>
      </c>
      <c r="K27" s="125">
        <f t="shared" si="11"/>
        <v>0.64872751081295021</v>
      </c>
      <c r="L27" s="30"/>
      <c r="O27" s="10"/>
      <c r="P27" s="314">
        <f t="shared" si="8"/>
        <v>2025</v>
      </c>
      <c r="Q27" s="314"/>
      <c r="R27" s="33">
        <f>'[1]Population Projections'!$C$21</f>
        <v>461159</v>
      </c>
      <c r="S27" s="67">
        <v>7.5026056225887755E-3</v>
      </c>
      <c r="T27" s="37">
        <f t="shared" si="12"/>
        <v>92340.743947777431</v>
      </c>
      <c r="U27" s="37">
        <f t="shared" si="13"/>
        <v>125945.77949155358</v>
      </c>
      <c r="V27" s="37">
        <f t="shared" si="14"/>
        <v>218286.52343933101</v>
      </c>
      <c r="W27" s="119">
        <v>0.22</v>
      </c>
      <c r="X27" s="126">
        <f t="shared" si="10"/>
        <v>0.5769745997469149</v>
      </c>
    </row>
    <row r="28" spans="2:26" ht="16.5" x14ac:dyDescent="0.3">
      <c r="B28" s="10"/>
      <c r="C28" s="314">
        <f t="shared" si="9"/>
        <v>2025</v>
      </c>
      <c r="D28" s="314"/>
      <c r="E28" s="33">
        <f>'[1]Population Projections'!$C$21</f>
        <v>461159</v>
      </c>
      <c r="F28" s="67">
        <v>7.5026056225887755E-3</v>
      </c>
      <c r="G28" s="94">
        <f t="shared" si="15"/>
        <v>4957.4760219545442</v>
      </c>
      <c r="H28" s="94">
        <f t="shared" si="16"/>
        <v>14756.494728515629</v>
      </c>
      <c r="I28" s="94">
        <f t="shared" si="17"/>
        <v>19713.970750470173</v>
      </c>
      <c r="J28" s="132">
        <v>0.16250000000000001</v>
      </c>
      <c r="K28" s="125">
        <f t="shared" si="11"/>
        <v>0.74852980737854091</v>
      </c>
      <c r="L28" s="30"/>
      <c r="P28" s="35" t="s">
        <v>20</v>
      </c>
      <c r="Q28" s="10"/>
      <c r="R28" s="10"/>
      <c r="S28" s="10"/>
      <c r="T28" s="10"/>
      <c r="U28" s="10"/>
      <c r="V28" s="10"/>
      <c r="W28" s="10"/>
      <c r="X28" s="10"/>
    </row>
    <row r="29" spans="2:26" ht="16.5" x14ac:dyDescent="0.3">
      <c r="B29" s="10"/>
      <c r="C29" s="35" t="s">
        <v>20</v>
      </c>
      <c r="D29" s="10"/>
      <c r="E29" s="10"/>
      <c r="F29" s="10"/>
      <c r="G29" s="10"/>
      <c r="H29" s="10"/>
      <c r="I29" s="10"/>
      <c r="J29" s="40"/>
      <c r="K29" s="10"/>
      <c r="L29" s="30"/>
      <c r="P29" s="35" t="s">
        <v>209</v>
      </c>
      <c r="Q29" s="10"/>
      <c r="R29" s="10"/>
      <c r="S29" s="10"/>
      <c r="T29" s="10"/>
      <c r="U29" s="10"/>
      <c r="V29" s="10"/>
      <c r="W29" s="10"/>
      <c r="X29" s="10"/>
    </row>
    <row r="30" spans="2:26" ht="16.5" x14ac:dyDescent="0.3">
      <c r="B30" s="10"/>
      <c r="C30" s="35" t="s">
        <v>209</v>
      </c>
      <c r="D30" s="10"/>
      <c r="E30" s="10"/>
      <c r="F30" s="10"/>
      <c r="G30" s="10"/>
      <c r="H30" s="10"/>
      <c r="I30" s="10"/>
      <c r="J30" s="40"/>
      <c r="K30" s="10"/>
      <c r="L30" s="30"/>
    </row>
    <row r="31" spans="2:26" ht="24.95" customHeight="1" x14ac:dyDescent="0.3">
      <c r="L31" s="30"/>
      <c r="O31" s="32" t="s">
        <v>169</v>
      </c>
      <c r="P31" s="10"/>
      <c r="Q31" s="10"/>
      <c r="R31" s="10"/>
      <c r="S31" s="10"/>
      <c r="T31" s="10"/>
      <c r="U31" s="10"/>
      <c r="V31" s="10"/>
      <c r="W31" s="10"/>
      <c r="X31" s="10"/>
      <c r="Y31" s="36"/>
    </row>
    <row r="32" spans="2:26" ht="24.95" customHeight="1" x14ac:dyDescent="0.3">
      <c r="B32" s="32" t="s">
        <v>191</v>
      </c>
      <c r="C32" s="10"/>
      <c r="D32" s="10"/>
      <c r="E32" s="10"/>
      <c r="F32" s="10"/>
      <c r="G32" s="10"/>
      <c r="H32" s="10"/>
      <c r="I32" s="10"/>
      <c r="J32" s="40"/>
      <c r="K32" s="10"/>
      <c r="L32" s="30"/>
      <c r="N32" s="168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168"/>
      <c r="Z32" s="168"/>
    </row>
    <row r="33" spans="2:26" ht="16.5" x14ac:dyDescent="0.3">
      <c r="B33" s="10"/>
      <c r="C33" s="10"/>
      <c r="D33" s="10"/>
      <c r="E33" s="10"/>
      <c r="F33" s="10"/>
      <c r="G33" s="10"/>
      <c r="H33" s="10"/>
      <c r="I33" s="10"/>
      <c r="J33" s="40"/>
      <c r="K33" s="10"/>
      <c r="L33" s="30"/>
      <c r="N33" s="168"/>
      <c r="O33" s="275"/>
      <c r="P33" s="315" t="s">
        <v>13</v>
      </c>
      <c r="Q33" s="316"/>
      <c r="R33" s="312" t="s">
        <v>14</v>
      </c>
      <c r="S33" s="312" t="s">
        <v>15</v>
      </c>
      <c r="T33" s="312" t="s">
        <v>16</v>
      </c>
      <c r="U33" s="312" t="s">
        <v>17</v>
      </c>
      <c r="V33" s="312" t="s">
        <v>18</v>
      </c>
      <c r="W33" s="312" t="s">
        <v>210</v>
      </c>
      <c r="X33" s="312" t="s">
        <v>19</v>
      </c>
      <c r="Y33" s="168"/>
      <c r="Z33" s="168"/>
    </row>
    <row r="34" spans="2:26" ht="31.5" customHeight="1" x14ac:dyDescent="0.3">
      <c r="B34" s="10"/>
      <c r="C34" s="315" t="s">
        <v>13</v>
      </c>
      <c r="D34" s="316"/>
      <c r="E34" s="312" t="s">
        <v>14</v>
      </c>
      <c r="F34" s="312" t="s">
        <v>15</v>
      </c>
      <c r="G34" s="312" t="s">
        <v>16</v>
      </c>
      <c r="H34" s="312" t="s">
        <v>17</v>
      </c>
      <c r="I34" s="312" t="s">
        <v>18</v>
      </c>
      <c r="J34" s="312" t="s">
        <v>210</v>
      </c>
      <c r="K34" s="312" t="s">
        <v>208</v>
      </c>
      <c r="L34" s="30"/>
      <c r="N34" s="168"/>
      <c r="O34" s="275"/>
      <c r="P34" s="317"/>
      <c r="Q34" s="318"/>
      <c r="R34" s="313"/>
      <c r="S34" s="313"/>
      <c r="T34" s="313"/>
      <c r="U34" s="313"/>
      <c r="V34" s="313"/>
      <c r="W34" s="313"/>
      <c r="X34" s="313"/>
      <c r="Y34" s="168"/>
      <c r="Z34" s="168"/>
    </row>
    <row r="35" spans="2:26" ht="16.5" x14ac:dyDescent="0.3">
      <c r="B35" s="10"/>
      <c r="C35" s="317"/>
      <c r="D35" s="318"/>
      <c r="E35" s="313"/>
      <c r="F35" s="313"/>
      <c r="G35" s="313"/>
      <c r="H35" s="313"/>
      <c r="I35" s="313"/>
      <c r="J35" s="313"/>
      <c r="K35" s="313"/>
      <c r="L35" s="30"/>
      <c r="N35" s="168"/>
      <c r="O35" s="275"/>
      <c r="P35" s="319">
        <v>2019</v>
      </c>
      <c r="Q35" s="319"/>
      <c r="R35" s="94">
        <f>'[1]Population Projections'!$C$15</f>
        <v>446539</v>
      </c>
      <c r="S35" s="67">
        <v>1.170199730425193E-3</v>
      </c>
      <c r="T35" s="37">
        <f>'Waste by Jurisdiction'!T21</f>
        <v>174851.27848466262</v>
      </c>
      <c r="U35" s="37">
        <f>'Waste by Jurisdiction'!T35</f>
        <v>527854.27</v>
      </c>
      <c r="V35" s="37">
        <f>SUM(T35:U35)</f>
        <v>702705.54848466266</v>
      </c>
      <c r="W35" s="119"/>
      <c r="X35" s="126">
        <f>U35/V35</f>
        <v>0.75117418830445026</v>
      </c>
      <c r="Y35" s="168"/>
      <c r="Z35" s="168"/>
    </row>
    <row r="36" spans="2:26" ht="16.5" x14ac:dyDescent="0.3">
      <c r="B36" s="10"/>
      <c r="C36" s="314">
        <v>2019</v>
      </c>
      <c r="D36" s="314"/>
      <c r="E36" s="33">
        <f>'[1]Population Projections'!$C$15</f>
        <v>446539</v>
      </c>
      <c r="F36" s="67">
        <v>1.170199730425193E-3</v>
      </c>
      <c r="G36" s="94">
        <f>'Waste by Jurisdiction'!I21</f>
        <v>2650.3379244800899</v>
      </c>
      <c r="H36" s="94">
        <f>'Waste by Jurisdiction'!I35</f>
        <v>14417.55</v>
      </c>
      <c r="I36" s="94">
        <f>SUM(G36:H36)</f>
        <v>17067.887924480088</v>
      </c>
      <c r="J36" s="119"/>
      <c r="K36" s="95">
        <f>H36/I36</f>
        <v>0.84471787392751929</v>
      </c>
      <c r="L36" s="30"/>
      <c r="N36" s="168"/>
      <c r="O36" s="275"/>
      <c r="P36" s="319">
        <f t="shared" ref="P36:P41" si="18">P35+1</f>
        <v>2020</v>
      </c>
      <c r="Q36" s="319"/>
      <c r="R36" s="94">
        <f>'[1]Population Projections'!$C$16</f>
        <v>448732</v>
      </c>
      <c r="S36" s="67">
        <v>6.7263933680515185E-4</v>
      </c>
      <c r="T36" s="322" t="s">
        <v>260</v>
      </c>
      <c r="U36" s="306"/>
      <c r="V36" s="306"/>
      <c r="W36" s="306"/>
      <c r="X36" s="307"/>
      <c r="Y36" s="168"/>
      <c r="Z36" s="168"/>
    </row>
    <row r="37" spans="2:26" ht="16.5" x14ac:dyDescent="0.3">
      <c r="B37" s="10"/>
      <c r="C37" s="314">
        <f t="shared" ref="C37:C42" si="19">C36+1</f>
        <v>2020</v>
      </c>
      <c r="D37" s="314"/>
      <c r="E37" s="33">
        <f>'[1]Population Projections'!$C$16</f>
        <v>448732</v>
      </c>
      <c r="F37" s="67">
        <v>6.7263933680515185E-4</v>
      </c>
      <c r="G37" s="308" t="s">
        <v>260</v>
      </c>
      <c r="H37" s="309"/>
      <c r="I37" s="309"/>
      <c r="J37" s="309"/>
      <c r="K37" s="310"/>
      <c r="L37" s="30"/>
      <c r="N37" s="168"/>
      <c r="O37" s="275"/>
      <c r="P37" s="320">
        <f t="shared" si="18"/>
        <v>2021</v>
      </c>
      <c r="Q37" s="320"/>
      <c r="R37" s="290">
        <f>'[1]Population Projections'!$C$17</f>
        <v>451008</v>
      </c>
      <c r="S37" s="291">
        <v>6.4089660293204084E-3</v>
      </c>
      <c r="T37" s="290">
        <f>'Waste by Jurisdiction'!T59</f>
        <v>242390.01737757295</v>
      </c>
      <c r="U37" s="290">
        <f>'Waste by Jurisdiction'!T73</f>
        <v>479455.54999999993</v>
      </c>
      <c r="V37" s="290">
        <f>SUM(T37:U37)</f>
        <v>721845.56737757288</v>
      </c>
      <c r="W37" s="292"/>
      <c r="X37" s="293">
        <f>U37/V37</f>
        <v>0.66420792987873678</v>
      </c>
      <c r="Y37" s="294" t="s">
        <v>265</v>
      </c>
      <c r="Z37" s="168"/>
    </row>
    <row r="38" spans="2:26" ht="16.5" x14ac:dyDescent="0.3">
      <c r="B38" s="10"/>
      <c r="C38" s="314">
        <f t="shared" si="19"/>
        <v>2021</v>
      </c>
      <c r="D38" s="314"/>
      <c r="E38" s="33">
        <f>'[1]Population Projections'!$C$17</f>
        <v>451008</v>
      </c>
      <c r="F38" s="67">
        <v>6.4089660293204084E-3</v>
      </c>
      <c r="G38" s="37">
        <f>'Waste by Jurisdiction'!I59</f>
        <v>3095.137125761531</v>
      </c>
      <c r="H38" s="94">
        <f>'Waste by Jurisdiction'!I73</f>
        <v>11905.91</v>
      </c>
      <c r="I38" s="94">
        <f>SUM(G38:H38)</f>
        <v>15001.047125761532</v>
      </c>
      <c r="J38" s="119"/>
      <c r="K38" s="95">
        <f>H38/I38</f>
        <v>0.79367192837850598</v>
      </c>
      <c r="L38" s="30"/>
      <c r="N38" s="168"/>
      <c r="O38" s="275"/>
      <c r="P38" s="319">
        <f t="shared" si="18"/>
        <v>2022</v>
      </c>
      <c r="Q38" s="319"/>
      <c r="R38" s="94">
        <f>'[1]Population Projections'!$C$18</f>
        <v>453448</v>
      </c>
      <c r="S38" s="67">
        <v>6.6188076221360146E-3</v>
      </c>
      <c r="T38" s="37">
        <f>V38-U38</f>
        <v>228948.46342093672</v>
      </c>
      <c r="U38" s="37">
        <f>U37*(1+W38)</f>
        <v>497674.86089999997</v>
      </c>
      <c r="V38" s="37">
        <f>V37*(1+S38)</f>
        <v>726623.32432093669</v>
      </c>
      <c r="W38" s="124">
        <v>3.7999999999999999E-2</v>
      </c>
      <c r="X38" s="126">
        <f t="shared" ref="X38:X41" si="20">U38/V38</f>
        <v>0.68491451380961421</v>
      </c>
      <c r="Y38" s="311" t="s">
        <v>266</v>
      </c>
      <c r="Z38" s="168"/>
    </row>
    <row r="39" spans="2:26" ht="16.5" x14ac:dyDescent="0.3">
      <c r="B39" s="10"/>
      <c r="C39" s="314">
        <f t="shared" si="19"/>
        <v>2022</v>
      </c>
      <c r="D39" s="314"/>
      <c r="E39" s="33">
        <f>'[1]Population Projections'!$C$18</f>
        <v>453448</v>
      </c>
      <c r="F39" s="67">
        <v>6.6188076221360146E-3</v>
      </c>
      <c r="G39" s="37">
        <f>I39-H39</f>
        <v>3115.6232429610791</v>
      </c>
      <c r="H39" s="94">
        <f>H38*(1+F39)</f>
        <v>11984.712927856466</v>
      </c>
      <c r="I39" s="94">
        <f>I38*(1+F39)</f>
        <v>15100.336170817545</v>
      </c>
      <c r="J39" s="119">
        <v>0</v>
      </c>
      <c r="K39" s="95">
        <f t="shared" ref="K39:K42" si="21">H39/I39</f>
        <v>0.79367192837850598</v>
      </c>
      <c r="L39" s="30"/>
      <c r="N39" s="168"/>
      <c r="O39" s="275"/>
      <c r="P39" s="319">
        <f t="shared" si="18"/>
        <v>2023</v>
      </c>
      <c r="Q39" s="319"/>
      <c r="R39" s="94">
        <f>'[1]Population Projections'!$C$19</f>
        <v>455863</v>
      </c>
      <c r="S39" s="67">
        <v>6.7609102680318608E-3</v>
      </c>
      <c r="T39" s="37">
        <f t="shared" ref="T39:T41" si="22">V39-U39</f>
        <v>214949.45380112965</v>
      </c>
      <c r="U39" s="37">
        <f>U38*(1+W39)</f>
        <v>516586.50561419997</v>
      </c>
      <c r="V39" s="37">
        <f t="shared" ref="V39:V41" si="23">V38*(1+S39)</f>
        <v>731535.95941532962</v>
      </c>
      <c r="W39" s="124">
        <v>3.7999999999999999E-2</v>
      </c>
      <c r="X39" s="126">
        <f t="shared" si="20"/>
        <v>0.7061669340589557</v>
      </c>
      <c r="Y39" s="311"/>
      <c r="Z39" s="240"/>
    </row>
    <row r="40" spans="2:26" ht="16.5" x14ac:dyDescent="0.3">
      <c r="B40" s="10"/>
      <c r="C40" s="314">
        <f t="shared" si="19"/>
        <v>2023</v>
      </c>
      <c r="D40" s="314"/>
      <c r="E40" s="33">
        <f>'[1]Population Projections'!$C$19</f>
        <v>455863</v>
      </c>
      <c r="F40" s="67">
        <v>6.7609102680318608E-3</v>
      </c>
      <c r="G40" s="37">
        <f t="shared" ref="G40:G42" si="24">I40-H40</f>
        <v>3136.6876921357343</v>
      </c>
      <c r="H40" s="94">
        <f>H39*(1+F40)</f>
        <v>12065.740496549826</v>
      </c>
      <c r="I40" s="94">
        <f>I39*(1+F40)</f>
        <v>15202.428188685561</v>
      </c>
      <c r="J40" s="119">
        <v>0</v>
      </c>
      <c r="K40" s="95">
        <f t="shared" si="21"/>
        <v>0.79367192837850598</v>
      </c>
      <c r="L40" s="30"/>
      <c r="N40" s="168"/>
      <c r="O40" s="275"/>
      <c r="P40" s="319">
        <f t="shared" si="18"/>
        <v>2024</v>
      </c>
      <c r="Q40" s="319"/>
      <c r="R40" s="94">
        <f>'[1]Population Projections'!$C$20</f>
        <v>458496</v>
      </c>
      <c r="S40" s="67">
        <v>7.2426546640297637E-3</v>
      </c>
      <c r="T40" s="37">
        <f t="shared" si="22"/>
        <v>200617.42891615501</v>
      </c>
      <c r="U40" s="37">
        <f>U39*(1+W40)</f>
        <v>536216.79282753961</v>
      </c>
      <c r="V40" s="37">
        <f t="shared" si="23"/>
        <v>736834.22174369462</v>
      </c>
      <c r="W40" s="124">
        <v>3.7999999999999999E-2</v>
      </c>
      <c r="X40" s="126">
        <f t="shared" si="20"/>
        <v>0.72773057630059546</v>
      </c>
      <c r="Y40" s="311"/>
      <c r="Z40" s="168"/>
    </row>
    <row r="41" spans="2:26" ht="16.5" x14ac:dyDescent="0.3">
      <c r="B41" s="10"/>
      <c r="C41" s="314">
        <f t="shared" si="19"/>
        <v>2024</v>
      </c>
      <c r="D41" s="314"/>
      <c r="E41" s="33">
        <f>'[1]Population Projections'!$C$20</f>
        <v>458496</v>
      </c>
      <c r="F41" s="67">
        <v>7.2426546640297637E-3</v>
      </c>
      <c r="G41" s="37">
        <f t="shared" si="24"/>
        <v>3159.4056378787864</v>
      </c>
      <c r="H41" s="94">
        <f t="shared" ref="H41:H42" si="25">H40*(1+F41)</f>
        <v>12153.128488232136</v>
      </c>
      <c r="I41" s="94">
        <f t="shared" ref="I41:I42" si="26">I40*(1+F41)</f>
        <v>15312.534126110922</v>
      </c>
      <c r="J41" s="119">
        <v>0</v>
      </c>
      <c r="K41" s="95">
        <f t="shared" si="21"/>
        <v>0.79367192837850598</v>
      </c>
      <c r="L41" s="30"/>
      <c r="N41" s="168"/>
      <c r="O41" s="275"/>
      <c r="P41" s="319">
        <f t="shared" si="18"/>
        <v>2025</v>
      </c>
      <c r="Q41" s="319"/>
      <c r="R41" s="94">
        <f>'[1]Population Projections'!$C$21</f>
        <v>461159</v>
      </c>
      <c r="S41" s="67">
        <v>7.5026056225887755E-3</v>
      </c>
      <c r="T41" s="37">
        <f t="shared" si="22"/>
        <v>185769.36736367864</v>
      </c>
      <c r="U41" s="37">
        <f>U40*(1+W41)</f>
        <v>556593.03095498611</v>
      </c>
      <c r="V41" s="37">
        <f t="shared" si="23"/>
        <v>742362.39831866475</v>
      </c>
      <c r="W41" s="124">
        <v>3.7999999999999999E-2</v>
      </c>
      <c r="X41" s="126">
        <f t="shared" si="20"/>
        <v>0.7497591906804314</v>
      </c>
      <c r="Y41" s="311"/>
      <c r="Z41" s="168"/>
    </row>
    <row r="42" spans="2:26" ht="16.5" x14ac:dyDescent="0.3">
      <c r="B42" s="10"/>
      <c r="C42" s="314">
        <f t="shared" si="19"/>
        <v>2025</v>
      </c>
      <c r="D42" s="314"/>
      <c r="E42" s="33">
        <f>'[1]Population Projections'!$C$21</f>
        <v>461159</v>
      </c>
      <c r="F42" s="67">
        <v>7.5026056225887755E-3</v>
      </c>
      <c r="G42" s="37">
        <f t="shared" si="24"/>
        <v>3183.1094123815747</v>
      </c>
      <c r="H42" s="94">
        <f t="shared" si="25"/>
        <v>12244.308618359992</v>
      </c>
      <c r="I42" s="94">
        <f t="shared" si="26"/>
        <v>15427.418030741566</v>
      </c>
      <c r="J42" s="119">
        <v>0</v>
      </c>
      <c r="K42" s="95">
        <f t="shared" si="21"/>
        <v>0.79367192837850598</v>
      </c>
      <c r="L42" s="30"/>
      <c r="N42" s="168"/>
      <c r="O42" s="168"/>
      <c r="P42" s="276" t="s">
        <v>20</v>
      </c>
      <c r="Q42" s="275"/>
      <c r="R42" s="275"/>
      <c r="S42" s="275"/>
      <c r="T42" s="275"/>
      <c r="U42" s="275"/>
      <c r="V42" s="275"/>
      <c r="W42" s="275"/>
      <c r="X42" s="275"/>
      <c r="Y42" s="168"/>
      <c r="Z42" s="168"/>
    </row>
    <row r="43" spans="2:26" ht="16.5" x14ac:dyDescent="0.3">
      <c r="B43" s="10"/>
      <c r="C43" s="35" t="s">
        <v>20</v>
      </c>
      <c r="D43" s="10"/>
      <c r="E43" s="10"/>
      <c r="F43" s="10"/>
      <c r="G43" s="10"/>
      <c r="H43" s="10"/>
      <c r="I43" s="10"/>
      <c r="J43" s="40"/>
      <c r="K43" s="10"/>
      <c r="L43" s="30"/>
      <c r="N43" s="168"/>
      <c r="O43" s="168"/>
      <c r="P43" s="276" t="s">
        <v>209</v>
      </c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2:26" ht="24.95" customHeight="1" x14ac:dyDescent="0.3">
      <c r="B44" s="10"/>
      <c r="C44" s="35" t="s">
        <v>209</v>
      </c>
      <c r="D44" s="10"/>
      <c r="E44" s="10"/>
      <c r="F44" s="10"/>
      <c r="G44" s="10"/>
      <c r="H44" s="10"/>
      <c r="I44" s="10"/>
      <c r="J44" s="40"/>
      <c r="K44" s="10"/>
      <c r="L44" s="30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2:26" ht="24.95" customHeight="1" x14ac:dyDescent="0.25">
      <c r="L45" s="30"/>
      <c r="P45" s="36"/>
      <c r="Q45" s="36"/>
      <c r="R45" s="36"/>
      <c r="S45" s="36"/>
      <c r="T45" s="36"/>
      <c r="U45" s="36"/>
      <c r="V45" s="36"/>
      <c r="W45" s="36"/>
      <c r="X45" s="36"/>
    </row>
    <row r="46" spans="2:26" ht="16.5" x14ac:dyDescent="0.3">
      <c r="B46" s="32" t="s">
        <v>192</v>
      </c>
      <c r="C46" s="10"/>
      <c r="D46" s="10"/>
      <c r="E46" s="10"/>
      <c r="F46" s="10"/>
      <c r="G46" s="10"/>
      <c r="H46" s="10"/>
      <c r="I46" s="10"/>
      <c r="J46" s="40"/>
      <c r="K46" s="10"/>
      <c r="L46" s="30"/>
      <c r="V46" s="34">
        <f>SUM(V41-V35)</f>
        <v>39656.849834002089</v>
      </c>
    </row>
    <row r="47" spans="2:26" ht="16.5" x14ac:dyDescent="0.3">
      <c r="B47" s="10"/>
      <c r="C47" s="10"/>
      <c r="D47" s="10"/>
      <c r="E47" s="10"/>
      <c r="F47" s="10"/>
      <c r="G47" s="10"/>
      <c r="H47" s="10"/>
      <c r="I47" s="10"/>
      <c r="J47" s="40"/>
      <c r="K47" s="10"/>
      <c r="L47" s="30"/>
    </row>
    <row r="48" spans="2:26" ht="32.25" customHeight="1" x14ac:dyDescent="0.3">
      <c r="B48" s="10"/>
      <c r="C48" s="315" t="s">
        <v>13</v>
      </c>
      <c r="D48" s="316"/>
      <c r="E48" s="312" t="s">
        <v>14</v>
      </c>
      <c r="F48" s="312" t="s">
        <v>15</v>
      </c>
      <c r="G48" s="312" t="s">
        <v>230</v>
      </c>
      <c r="H48" s="312" t="s">
        <v>17</v>
      </c>
      <c r="I48" s="312" t="s">
        <v>18</v>
      </c>
      <c r="J48" s="312" t="s">
        <v>231</v>
      </c>
      <c r="K48" s="312" t="s">
        <v>19</v>
      </c>
      <c r="L48" s="30"/>
    </row>
    <row r="49" spans="2:21" ht="16.5" x14ac:dyDescent="0.3">
      <c r="B49" s="10"/>
      <c r="C49" s="317"/>
      <c r="D49" s="318"/>
      <c r="E49" s="313"/>
      <c r="F49" s="313"/>
      <c r="G49" s="313"/>
      <c r="H49" s="313"/>
      <c r="I49" s="313"/>
      <c r="J49" s="313"/>
      <c r="K49" s="313"/>
      <c r="L49" s="30"/>
    </row>
    <row r="50" spans="2:21" ht="16.5" x14ac:dyDescent="0.3">
      <c r="B50" s="10"/>
      <c r="C50" s="314">
        <v>2019</v>
      </c>
      <c r="D50" s="314"/>
      <c r="E50" s="33">
        <f>'[1]Population Projections'!$C$15</f>
        <v>446539</v>
      </c>
      <c r="F50" s="67">
        <v>1.170199730425193E-3</v>
      </c>
      <c r="G50" s="94">
        <f>'Waste by Jurisdiction'!J21</f>
        <v>166.45100000000002</v>
      </c>
      <c r="H50" s="94">
        <f>'Waste by Jurisdiction'!J35</f>
        <v>5547.96</v>
      </c>
      <c r="I50" s="94">
        <f>SUM(G50:H50)</f>
        <v>5714.4110000000001</v>
      </c>
      <c r="J50" s="120"/>
      <c r="K50" s="125">
        <f>H50/I50</f>
        <v>0.97087171363767844</v>
      </c>
      <c r="L50" s="30"/>
    </row>
    <row r="51" spans="2:21" ht="16.5" x14ac:dyDescent="0.3">
      <c r="B51" s="10"/>
      <c r="C51" s="314">
        <f t="shared" ref="C51:C56" si="27">C50+1</f>
        <v>2020</v>
      </c>
      <c r="D51" s="314"/>
      <c r="E51" s="33">
        <f>'[1]Population Projections'!$C$16</f>
        <v>448732</v>
      </c>
      <c r="F51" s="67">
        <v>6.7263933680515185E-4</v>
      </c>
      <c r="G51" s="308" t="s">
        <v>260</v>
      </c>
      <c r="H51" s="309"/>
      <c r="I51" s="309"/>
      <c r="J51" s="309"/>
      <c r="K51" s="310"/>
      <c r="L51" s="30"/>
    </row>
    <row r="52" spans="2:21" ht="16.5" x14ac:dyDescent="0.3">
      <c r="B52" s="10"/>
      <c r="C52" s="314">
        <f t="shared" si="27"/>
        <v>2021</v>
      </c>
      <c r="D52" s="314"/>
      <c r="E52" s="33">
        <f>'[1]Population Projections'!$C$17</f>
        <v>451008</v>
      </c>
      <c r="F52" s="67">
        <v>6.4089660293204084E-3</v>
      </c>
      <c r="G52" s="94">
        <f>'Waste by Jurisdiction'!J59</f>
        <v>676.00200000000007</v>
      </c>
      <c r="H52" s="94">
        <f>'Waste by Jurisdiction'!J73</f>
        <v>4433.38</v>
      </c>
      <c r="I52" s="94">
        <f>SUM(G52:H52)</f>
        <v>5109.3820000000005</v>
      </c>
      <c r="J52" s="120"/>
      <c r="K52" s="125">
        <f>H52/I52</f>
        <v>0.86769397942843174</v>
      </c>
      <c r="L52" s="30"/>
    </row>
    <row r="53" spans="2:21" ht="16.5" x14ac:dyDescent="0.3">
      <c r="B53" s="10"/>
      <c r="C53" s="314">
        <f t="shared" si="27"/>
        <v>2022</v>
      </c>
      <c r="D53" s="314"/>
      <c r="E53" s="33">
        <f>'[1]Population Projections'!$C$18</f>
        <v>453448</v>
      </c>
      <c r="F53" s="67">
        <v>6.6188076221360146E-3</v>
      </c>
      <c r="G53" s="94">
        <f>G52*(1+F53)</f>
        <v>680.47632719017929</v>
      </c>
      <c r="H53" s="94">
        <f>H52*(1+F53)</f>
        <v>4462.7236893358258</v>
      </c>
      <c r="I53" s="94">
        <f>I52*(1+F53)</f>
        <v>5143.2000165260051</v>
      </c>
      <c r="J53" s="120">
        <v>0</v>
      </c>
      <c r="K53" s="125">
        <f t="shared" ref="K53:K56" si="28">H53/I53</f>
        <v>0.86769397942843185</v>
      </c>
      <c r="L53" s="30"/>
    </row>
    <row r="54" spans="2:21" ht="16.5" x14ac:dyDescent="0.3">
      <c r="B54" s="10"/>
      <c r="C54" s="314">
        <f t="shared" si="27"/>
        <v>2023</v>
      </c>
      <c r="D54" s="314"/>
      <c r="E54" s="33">
        <f>'[1]Population Projections'!$C$19</f>
        <v>455863</v>
      </c>
      <c r="F54" s="67">
        <v>6.7609102680318608E-3</v>
      </c>
      <c r="G54" s="94">
        <f t="shared" ref="G54:G56" si="29">G53*(1+F54)</f>
        <v>685.07696657783208</v>
      </c>
      <c r="H54" s="94">
        <f t="shared" ref="H54:H56" si="30">H53*(1+F54)</f>
        <v>4492.8957637504454</v>
      </c>
      <c r="I54" s="94">
        <f>I53*(1+F54)</f>
        <v>5177.972730328278</v>
      </c>
      <c r="J54" s="120">
        <v>0</v>
      </c>
      <c r="K54" s="125">
        <f t="shared" si="28"/>
        <v>0.86769397942843174</v>
      </c>
      <c r="L54" s="30"/>
    </row>
    <row r="55" spans="2:21" ht="16.5" x14ac:dyDescent="0.3">
      <c r="B55" s="10"/>
      <c r="C55" s="314">
        <f t="shared" si="27"/>
        <v>2024</v>
      </c>
      <c r="D55" s="314"/>
      <c r="E55" s="33">
        <f>'[1]Population Projections'!$C$20</f>
        <v>458496</v>
      </c>
      <c r="F55" s="67">
        <v>7.2426546640297637E-3</v>
      </c>
      <c r="G55" s="94">
        <f t="shared" si="29"/>
        <v>690.03874246503642</v>
      </c>
      <c r="H55" s="94">
        <f t="shared" si="30"/>
        <v>4525.4362562087726</v>
      </c>
      <c r="I55" s="94">
        <f t="shared" ref="I55:I56" si="31">I54*(1+F55)</f>
        <v>5215.4749986738098</v>
      </c>
      <c r="J55" s="120">
        <v>0</v>
      </c>
      <c r="K55" s="125">
        <f t="shared" si="28"/>
        <v>0.86769397942843174</v>
      </c>
      <c r="L55" s="30"/>
    </row>
    <row r="56" spans="2:21" ht="16.5" x14ac:dyDescent="0.3">
      <c r="B56" s="10"/>
      <c r="C56" s="314">
        <f t="shared" si="27"/>
        <v>2025</v>
      </c>
      <c r="D56" s="314"/>
      <c r="E56" s="33">
        <f>'[1]Population Projections'!$C$21</f>
        <v>461159</v>
      </c>
      <c r="F56" s="67">
        <v>7.5026056225887755E-3</v>
      </c>
      <c r="G56" s="94">
        <f t="shared" si="29"/>
        <v>695.21583101405872</v>
      </c>
      <c r="H56" s="94">
        <f t="shared" si="30"/>
        <v>4559.388819709272</v>
      </c>
      <c r="I56" s="94">
        <f t="shared" si="31"/>
        <v>5254.6046507233314</v>
      </c>
      <c r="J56" s="120">
        <v>0</v>
      </c>
      <c r="K56" s="125">
        <f t="shared" si="28"/>
        <v>0.86769397942843174</v>
      </c>
      <c r="L56" s="30"/>
    </row>
    <row r="57" spans="2:21" ht="16.5" x14ac:dyDescent="0.3">
      <c r="B57" s="10"/>
      <c r="C57" s="35" t="s">
        <v>20</v>
      </c>
      <c r="D57" s="10"/>
      <c r="E57" s="10"/>
      <c r="F57" s="10"/>
      <c r="G57" s="10"/>
      <c r="H57" s="10"/>
      <c r="I57" s="10"/>
      <c r="J57" s="277"/>
      <c r="K57" s="10"/>
      <c r="L57" s="30"/>
    </row>
    <row r="58" spans="2:21" ht="16.5" x14ac:dyDescent="0.3">
      <c r="B58" s="10"/>
      <c r="C58" s="35" t="s">
        <v>232</v>
      </c>
      <c r="D58" s="10"/>
      <c r="E58" s="10"/>
      <c r="F58" s="10"/>
      <c r="G58" s="10"/>
      <c r="H58" s="10"/>
      <c r="I58" s="10"/>
      <c r="J58" s="10"/>
      <c r="K58" s="10"/>
      <c r="L58" s="271"/>
      <c r="M58" s="10"/>
      <c r="N58" s="10"/>
      <c r="O58" s="10"/>
      <c r="P58" s="10"/>
      <c r="Q58" s="10"/>
      <c r="R58" s="10"/>
      <c r="S58" s="40"/>
      <c r="T58" s="10"/>
      <c r="U58" s="217"/>
    </row>
    <row r="59" spans="2:21" ht="24.95" customHeight="1" x14ac:dyDescent="0.25">
      <c r="C59" s="35" t="s">
        <v>209</v>
      </c>
      <c r="L59" s="30"/>
    </row>
    <row r="60" spans="2:21" ht="24.95" customHeight="1" x14ac:dyDescent="0.3">
      <c r="B60" s="32" t="s">
        <v>193</v>
      </c>
      <c r="C60" s="10"/>
      <c r="D60" s="10"/>
      <c r="E60" s="10"/>
      <c r="F60" s="10"/>
      <c r="G60" s="10"/>
      <c r="H60" s="10"/>
      <c r="I60" s="10"/>
      <c r="J60" s="40"/>
      <c r="K60" s="10"/>
      <c r="L60" s="30"/>
    </row>
    <row r="61" spans="2:21" ht="16.5" x14ac:dyDescent="0.3">
      <c r="B61" s="10"/>
      <c r="C61" s="10"/>
      <c r="D61" s="10"/>
      <c r="E61" s="10"/>
      <c r="F61" s="10"/>
      <c r="G61" s="10"/>
      <c r="H61" s="10"/>
      <c r="I61" s="10"/>
      <c r="J61" s="40"/>
      <c r="K61" s="10"/>
      <c r="L61" s="30"/>
    </row>
    <row r="62" spans="2:21" ht="16.5" x14ac:dyDescent="0.3">
      <c r="B62" s="10"/>
      <c r="C62" s="315" t="s">
        <v>13</v>
      </c>
      <c r="D62" s="316"/>
      <c r="E62" s="312" t="s">
        <v>14</v>
      </c>
      <c r="F62" s="312" t="s">
        <v>15</v>
      </c>
      <c r="G62" s="312" t="s">
        <v>16</v>
      </c>
      <c r="H62" s="312" t="s">
        <v>17</v>
      </c>
      <c r="I62" s="312" t="s">
        <v>18</v>
      </c>
      <c r="J62" s="312" t="s">
        <v>210</v>
      </c>
      <c r="K62" s="312" t="s">
        <v>208</v>
      </c>
      <c r="L62" s="30"/>
    </row>
    <row r="63" spans="2:21" ht="36" customHeight="1" x14ac:dyDescent="0.3">
      <c r="B63" s="10"/>
      <c r="C63" s="317"/>
      <c r="D63" s="318"/>
      <c r="E63" s="313"/>
      <c r="F63" s="313"/>
      <c r="G63" s="313"/>
      <c r="H63" s="313"/>
      <c r="I63" s="313"/>
      <c r="J63" s="313"/>
      <c r="K63" s="313"/>
      <c r="L63" s="30"/>
    </row>
    <row r="64" spans="2:21" ht="16.5" x14ac:dyDescent="0.3">
      <c r="B64" s="10"/>
      <c r="C64" s="314">
        <v>2019</v>
      </c>
      <c r="D64" s="314"/>
      <c r="E64" s="33">
        <f>'[1]Population Projections'!$C$15</f>
        <v>446539</v>
      </c>
      <c r="F64" s="67">
        <v>1.170199730425193E-3</v>
      </c>
      <c r="G64" s="94">
        <f>'Waste by Jurisdiction'!K21</f>
        <v>17762.208211290443</v>
      </c>
      <c r="H64" s="94">
        <f>'Waste by Jurisdiction'!K35</f>
        <v>10729.84</v>
      </c>
      <c r="I64" s="94">
        <f>SUM(G64:H64)</f>
        <v>28492.048211290443</v>
      </c>
      <c r="J64" s="119"/>
      <c r="K64" s="125">
        <f>H64/I64</f>
        <v>0.3765906866515874</v>
      </c>
      <c r="L64" s="30"/>
    </row>
    <row r="65" spans="2:19" ht="16.5" x14ac:dyDescent="0.3">
      <c r="B65" s="10"/>
      <c r="C65" s="314">
        <f t="shared" ref="C65:C70" si="32">C64+1</f>
        <v>2020</v>
      </c>
      <c r="D65" s="314"/>
      <c r="E65" s="33">
        <f>'[1]Population Projections'!$C$16</f>
        <v>448732</v>
      </c>
      <c r="F65" s="67">
        <v>6.7263933680515185E-4</v>
      </c>
      <c r="G65" s="308" t="s">
        <v>260</v>
      </c>
      <c r="H65" s="309"/>
      <c r="I65" s="309"/>
      <c r="J65" s="309"/>
      <c r="K65" s="310"/>
      <c r="L65" s="30"/>
    </row>
    <row r="66" spans="2:19" ht="16.5" x14ac:dyDescent="0.3">
      <c r="B66" s="10"/>
      <c r="C66" s="314">
        <f t="shared" si="32"/>
        <v>2021</v>
      </c>
      <c r="D66" s="314"/>
      <c r="E66" s="33">
        <f>'[1]Population Projections'!$C$17</f>
        <v>451008</v>
      </c>
      <c r="F66" s="67">
        <v>6.4089660293204084E-3</v>
      </c>
      <c r="G66" s="94">
        <f>'Waste by Jurisdiction'!K59</f>
        <v>16526.952041568748</v>
      </c>
      <c r="H66" s="94">
        <f>'Waste by Jurisdiction'!K73</f>
        <v>9608.23</v>
      </c>
      <c r="I66" s="94">
        <f>SUM(G66:H66)</f>
        <v>26135.182041568747</v>
      </c>
      <c r="J66" s="119"/>
      <c r="K66" s="125">
        <f>H66/I66</f>
        <v>0.367635855174754</v>
      </c>
      <c r="L66" s="30"/>
    </row>
    <row r="67" spans="2:19" ht="16.5" x14ac:dyDescent="0.3">
      <c r="B67" s="10"/>
      <c r="C67" s="314">
        <f t="shared" si="32"/>
        <v>2022</v>
      </c>
      <c r="D67" s="314"/>
      <c r="E67" s="33">
        <f>'[1]Population Projections'!$C$18</f>
        <v>453448</v>
      </c>
      <c r="F67" s="67">
        <v>6.6188076221360146E-3</v>
      </c>
      <c r="G67" s="94">
        <f>I67-H67</f>
        <v>14749.465093671397</v>
      </c>
      <c r="H67" s="94">
        <f>H66*(1+J67)</f>
        <v>11558.70069</v>
      </c>
      <c r="I67" s="94">
        <f>I66*(1+F67)</f>
        <v>26308.165783671397</v>
      </c>
      <c r="J67" s="124">
        <v>0.20300000000000001</v>
      </c>
      <c r="K67" s="125">
        <f t="shared" ref="K67:K70" si="33">H67/I67</f>
        <v>0.439357908302908</v>
      </c>
      <c r="L67" s="30"/>
    </row>
    <row r="68" spans="2:19" ht="16.5" x14ac:dyDescent="0.3">
      <c r="B68" s="10"/>
      <c r="C68" s="314">
        <f t="shared" si="32"/>
        <v>2023</v>
      </c>
      <c r="D68" s="314"/>
      <c r="E68" s="33">
        <f>'[1]Population Projections'!$C$19</f>
        <v>455863</v>
      </c>
      <c r="F68" s="67">
        <v>6.7609102680318608E-3</v>
      </c>
      <c r="G68" s="94">
        <f t="shared" ref="G68:G70" si="34">I68-H68</f>
        <v>12580.916001781306</v>
      </c>
      <c r="H68" s="94">
        <f t="shared" ref="H68:H70" si="35">H67*(1+J68)</f>
        <v>13905.11693007</v>
      </c>
      <c r="I68" s="94">
        <f t="shared" ref="I68:I70" si="36">I67*(1+F68)</f>
        <v>26486.032931851307</v>
      </c>
      <c r="J68" s="124">
        <v>0.20300000000000001</v>
      </c>
      <c r="K68" s="125">
        <f t="shared" si="33"/>
        <v>0.52499809865252134</v>
      </c>
      <c r="L68" s="30"/>
    </row>
    <row r="69" spans="2:19" ht="16.5" x14ac:dyDescent="0.3">
      <c r="B69" s="10"/>
      <c r="C69" s="314">
        <f t="shared" si="32"/>
        <v>2024</v>
      </c>
      <c r="D69" s="314"/>
      <c r="E69" s="33">
        <f>'[1]Population Projections'!$C$20</f>
        <v>458496</v>
      </c>
      <c r="F69" s="67">
        <v>7.2426546640297637E-3</v>
      </c>
      <c r="G69" s="94">
        <f t="shared" si="34"/>
        <v>9950.0064549226154</v>
      </c>
      <c r="H69" s="94">
        <f t="shared" si="35"/>
        <v>16727.855666874213</v>
      </c>
      <c r="I69" s="94">
        <f t="shared" si="36"/>
        <v>26677.862121796828</v>
      </c>
      <c r="J69" s="124">
        <v>0.20300000000000001</v>
      </c>
      <c r="K69" s="125">
        <f t="shared" si="33"/>
        <v>0.62703134121106796</v>
      </c>
      <c r="L69" s="30"/>
    </row>
    <row r="70" spans="2:19" ht="16.5" x14ac:dyDescent="0.3">
      <c r="B70" s="10"/>
      <c r="C70" s="314">
        <f t="shared" si="32"/>
        <v>2025</v>
      </c>
      <c r="D70" s="314"/>
      <c r="E70" s="33">
        <f>'[1]Population Projections'!$C$21</f>
        <v>461159</v>
      </c>
      <c r="F70" s="67">
        <v>7.5026056225887755E-3</v>
      </c>
      <c r="G70" s="94">
        <f t="shared" si="34"/>
        <v>6754.4052329007936</v>
      </c>
      <c r="H70" s="94">
        <f t="shared" si="35"/>
        <v>20123.610367249679</v>
      </c>
      <c r="I70" s="94">
        <f t="shared" si="36"/>
        <v>26878.015600150473</v>
      </c>
      <c r="J70" s="124">
        <v>0.20300000000000001</v>
      </c>
      <c r="K70" s="125">
        <f t="shared" si="33"/>
        <v>0.74870149145746534</v>
      </c>
      <c r="L70" s="30"/>
    </row>
    <row r="71" spans="2:19" ht="13.5" customHeight="1" x14ac:dyDescent="0.3">
      <c r="B71" s="10"/>
      <c r="C71" s="35" t="s">
        <v>20</v>
      </c>
      <c r="D71" s="10"/>
      <c r="E71" s="10"/>
      <c r="F71" s="10"/>
      <c r="G71" s="10"/>
      <c r="H71" s="10"/>
      <c r="I71" s="10"/>
      <c r="J71" s="40"/>
      <c r="K71" s="10"/>
      <c r="S71" s="34"/>
    </row>
    <row r="72" spans="2:19" ht="24.95" customHeight="1" x14ac:dyDescent="0.3">
      <c r="B72" s="10"/>
      <c r="C72" s="35" t="s">
        <v>209</v>
      </c>
      <c r="D72" s="10"/>
      <c r="E72" s="10"/>
      <c r="F72" s="10"/>
      <c r="G72" s="10"/>
      <c r="H72" s="10"/>
      <c r="I72" s="10"/>
      <c r="J72" s="40"/>
      <c r="K72" s="10"/>
    </row>
    <row r="74" spans="2:19" ht="16.5" x14ac:dyDescent="0.3">
      <c r="B74" s="32" t="s">
        <v>194</v>
      </c>
      <c r="C74" s="10"/>
      <c r="D74" s="10"/>
      <c r="E74" s="10"/>
      <c r="F74" s="10"/>
      <c r="G74" s="10"/>
      <c r="H74" s="10"/>
      <c r="I74" s="10"/>
      <c r="J74" s="40"/>
      <c r="K74" s="10"/>
    </row>
    <row r="75" spans="2:19" ht="16.5" x14ac:dyDescent="0.3">
      <c r="B75" s="10"/>
      <c r="C75" s="10"/>
      <c r="D75" s="10"/>
      <c r="E75" s="10"/>
      <c r="F75" s="10"/>
      <c r="G75" s="10"/>
      <c r="H75" s="10"/>
      <c r="I75" s="10"/>
      <c r="J75" s="40"/>
      <c r="K75" s="10"/>
    </row>
    <row r="76" spans="2:19" ht="34.5" customHeight="1" x14ac:dyDescent="0.3">
      <c r="B76" s="10"/>
      <c r="C76" s="315" t="s">
        <v>13</v>
      </c>
      <c r="D76" s="316"/>
      <c r="E76" s="312" t="s">
        <v>14</v>
      </c>
      <c r="F76" s="312" t="s">
        <v>15</v>
      </c>
      <c r="G76" s="312" t="s">
        <v>16</v>
      </c>
      <c r="H76" s="312" t="s">
        <v>17</v>
      </c>
      <c r="I76" s="312" t="s">
        <v>18</v>
      </c>
      <c r="J76" s="312" t="s">
        <v>210</v>
      </c>
      <c r="K76" s="312" t="s">
        <v>19</v>
      </c>
    </row>
    <row r="77" spans="2:19" ht="16.5" x14ac:dyDescent="0.3">
      <c r="B77" s="10"/>
      <c r="C77" s="317"/>
      <c r="D77" s="318"/>
      <c r="E77" s="313"/>
      <c r="F77" s="313"/>
      <c r="G77" s="313"/>
      <c r="H77" s="313"/>
      <c r="I77" s="313"/>
      <c r="J77" s="313"/>
      <c r="K77" s="313"/>
    </row>
    <row r="78" spans="2:19" ht="16.5" x14ac:dyDescent="0.3">
      <c r="B78" s="10"/>
      <c r="C78" s="321">
        <v>2019</v>
      </c>
      <c r="D78" s="321"/>
      <c r="E78" s="37">
        <f>'[1]Population Projections'!$C$15</f>
        <v>446539</v>
      </c>
      <c r="F78" s="67">
        <v>1.170199730425193E-3</v>
      </c>
      <c r="G78" s="94">
        <f>'Waste by Jurisdiction'!L21</f>
        <v>8224.1816908652199</v>
      </c>
      <c r="H78" s="94">
        <f>'Waste by Jurisdiction'!L35</f>
        <v>5168.2</v>
      </c>
      <c r="I78" s="94">
        <f>SUM(G78:H78)</f>
        <v>13392.381690865219</v>
      </c>
      <c r="J78" s="132"/>
      <c r="K78" s="125">
        <f>H78/I78</f>
        <v>0.38590596648878117</v>
      </c>
    </row>
    <row r="79" spans="2:19" ht="16.5" x14ac:dyDescent="0.3">
      <c r="B79" s="10"/>
      <c r="C79" s="321">
        <f t="shared" ref="C79:C84" si="37">C78+1</f>
        <v>2020</v>
      </c>
      <c r="D79" s="321"/>
      <c r="E79" s="37">
        <f>'[1]Population Projections'!$C$16</f>
        <v>448732</v>
      </c>
      <c r="F79" s="67">
        <v>6.7263933680515185E-4</v>
      </c>
      <c r="G79" s="308" t="s">
        <v>260</v>
      </c>
      <c r="H79" s="309"/>
      <c r="I79" s="309"/>
      <c r="J79" s="309"/>
      <c r="K79" s="310"/>
    </row>
    <row r="80" spans="2:19" ht="16.5" x14ac:dyDescent="0.3">
      <c r="B80" s="10"/>
      <c r="C80" s="321">
        <f t="shared" si="37"/>
        <v>2021</v>
      </c>
      <c r="D80" s="321"/>
      <c r="E80" s="37">
        <f>'[1]Population Projections'!$C$17</f>
        <v>451008</v>
      </c>
      <c r="F80" s="67">
        <v>6.4089660293204084E-3</v>
      </c>
      <c r="G80" s="94">
        <f>'Waste by Jurisdiction'!L59</f>
        <v>8413.7142537359887</v>
      </c>
      <c r="H80" s="94">
        <f>'Waste by Jurisdiction'!L73</f>
        <v>5687.61</v>
      </c>
      <c r="I80" s="94">
        <f t="shared" ref="I80" si="38">SUM(G80:H80)</f>
        <v>14101.324253735987</v>
      </c>
      <c r="J80" s="132"/>
      <c r="K80" s="125">
        <f>H80/I80</f>
        <v>0.40333871469504939</v>
      </c>
    </row>
    <row r="81" spans="2:11" ht="16.5" x14ac:dyDescent="0.3">
      <c r="B81" s="10"/>
      <c r="C81" s="321">
        <f t="shared" si="37"/>
        <v>2022</v>
      </c>
      <c r="D81" s="321"/>
      <c r="E81" s="37">
        <f>'[1]Population Projections'!$C$18</f>
        <v>453448</v>
      </c>
      <c r="F81" s="67">
        <v>6.6188076221360146E-3</v>
      </c>
      <c r="G81" s="94">
        <f>I81-H81</f>
        <v>7506.0288461888285</v>
      </c>
      <c r="H81" s="94">
        <f>H80*(1+J81)</f>
        <v>6688.629359999999</v>
      </c>
      <c r="I81" s="94">
        <f>I80*(1+F81)</f>
        <v>14194.658206188828</v>
      </c>
      <c r="J81" s="132">
        <v>0.17599999999999999</v>
      </c>
      <c r="K81" s="125">
        <f t="shared" ref="K81:K84" si="39">H81/I81</f>
        <v>0.47120749671054263</v>
      </c>
    </row>
    <row r="82" spans="2:11" ht="16.5" x14ac:dyDescent="0.3">
      <c r="B82" s="10"/>
      <c r="C82" s="321">
        <f t="shared" si="37"/>
        <v>2023</v>
      </c>
      <c r="D82" s="321"/>
      <c r="E82" s="37">
        <f>'[1]Population Projections'!$C$19</f>
        <v>455863</v>
      </c>
      <c r="F82" s="67">
        <v>6.7609102680318608E-3</v>
      </c>
      <c r="G82" s="94">
        <f t="shared" ref="G82:G84" si="40">I82-H82</f>
        <v>6424.7988892462545</v>
      </c>
      <c r="H82" s="94">
        <f t="shared" ref="H82:H84" si="41">H81*(1+J82)</f>
        <v>7865.8281273599987</v>
      </c>
      <c r="I82" s="94">
        <f t="shared" ref="I82:I84" si="42">I81*(1+F82)</f>
        <v>14290.627016606253</v>
      </c>
      <c r="J82" s="132">
        <v>0.17599999999999999</v>
      </c>
      <c r="K82" s="125">
        <f t="shared" si="39"/>
        <v>0.55041868479385869</v>
      </c>
    </row>
    <row r="83" spans="2:11" ht="16.5" x14ac:dyDescent="0.3">
      <c r="B83" s="10"/>
      <c r="C83" s="321">
        <f t="shared" si="37"/>
        <v>2024</v>
      </c>
      <c r="D83" s="321"/>
      <c r="E83" s="37">
        <f>'[1]Population Projections'!$C$20</f>
        <v>458496</v>
      </c>
      <c r="F83" s="67">
        <v>7.2426546640297637E-3</v>
      </c>
      <c r="G83" s="94">
        <f t="shared" si="40"/>
        <v>5143.9152152446295</v>
      </c>
      <c r="H83" s="94">
        <f t="shared" si="41"/>
        <v>9250.2138777753571</v>
      </c>
      <c r="I83" s="94">
        <f t="shared" si="42"/>
        <v>14394.129093019987</v>
      </c>
      <c r="J83" s="132">
        <v>0.17599999999999999</v>
      </c>
      <c r="K83" s="125">
        <f t="shared" si="39"/>
        <v>0.64263796843818632</v>
      </c>
    </row>
    <row r="84" spans="2:11" ht="16.5" x14ac:dyDescent="0.3">
      <c r="B84" s="10"/>
      <c r="C84" s="321">
        <f t="shared" si="37"/>
        <v>2025</v>
      </c>
      <c r="D84" s="321"/>
      <c r="E84" s="37">
        <f>'[1]Population Projections'!$C$21</f>
        <v>461159</v>
      </c>
      <c r="F84" s="67">
        <v>7.5026056225887755E-3</v>
      </c>
      <c r="G84" s="94">
        <f t="shared" si="40"/>
        <v>3623.871046621729</v>
      </c>
      <c r="H84" s="94">
        <f t="shared" si="41"/>
        <v>10878.251520263819</v>
      </c>
      <c r="I84" s="94">
        <f t="shared" si="42"/>
        <v>14502.122566885548</v>
      </c>
      <c r="J84" s="132">
        <v>0.17599999999999999</v>
      </c>
      <c r="K84" s="125">
        <f t="shared" si="39"/>
        <v>0.75011443808256373</v>
      </c>
    </row>
    <row r="85" spans="2:11" ht="16.5" x14ac:dyDescent="0.3">
      <c r="B85" s="10"/>
      <c r="C85" s="39" t="s">
        <v>20</v>
      </c>
      <c r="D85" s="40"/>
      <c r="E85" s="40"/>
      <c r="F85" s="40"/>
      <c r="G85" s="40"/>
      <c r="H85" s="40"/>
      <c r="I85" s="40"/>
      <c r="J85" s="40"/>
      <c r="K85" s="40"/>
    </row>
    <row r="86" spans="2:11" ht="16.5" x14ac:dyDescent="0.3">
      <c r="B86" s="10"/>
      <c r="C86" s="35" t="s">
        <v>209</v>
      </c>
      <c r="D86" s="40"/>
      <c r="E86" s="40"/>
      <c r="F86" s="40"/>
      <c r="G86" s="40"/>
      <c r="H86" s="40"/>
      <c r="I86" s="40"/>
      <c r="J86" s="40"/>
      <c r="K86" s="40"/>
    </row>
    <row r="88" spans="2:11" ht="16.5" x14ac:dyDescent="0.3">
      <c r="B88" s="32" t="s">
        <v>195</v>
      </c>
      <c r="C88" s="10"/>
      <c r="D88" s="10"/>
      <c r="E88" s="10"/>
      <c r="F88" s="10"/>
      <c r="G88" s="10"/>
      <c r="H88" s="10"/>
      <c r="I88" s="10"/>
      <c r="J88" s="40"/>
      <c r="K88" s="10"/>
    </row>
    <row r="89" spans="2:11" ht="16.5" x14ac:dyDescent="0.3">
      <c r="B89" s="10"/>
      <c r="C89" s="10"/>
      <c r="D89" s="10"/>
      <c r="E89" s="10"/>
      <c r="F89" s="10"/>
      <c r="G89" s="10"/>
      <c r="H89" s="10"/>
      <c r="I89" s="10"/>
      <c r="J89" s="40"/>
      <c r="K89" s="10"/>
    </row>
    <row r="90" spans="2:11" ht="28.5" customHeight="1" x14ac:dyDescent="0.3">
      <c r="B90" s="10"/>
      <c r="C90" s="315" t="s">
        <v>13</v>
      </c>
      <c r="D90" s="316"/>
      <c r="E90" s="312" t="s">
        <v>14</v>
      </c>
      <c r="F90" s="312" t="s">
        <v>15</v>
      </c>
      <c r="G90" s="312" t="s">
        <v>16</v>
      </c>
      <c r="H90" s="312" t="s">
        <v>17</v>
      </c>
      <c r="I90" s="312" t="s">
        <v>18</v>
      </c>
      <c r="J90" s="312" t="s">
        <v>210</v>
      </c>
      <c r="K90" s="312" t="s">
        <v>19</v>
      </c>
    </row>
    <row r="91" spans="2:11" ht="16.5" x14ac:dyDescent="0.3">
      <c r="B91" s="10"/>
      <c r="C91" s="317"/>
      <c r="D91" s="318"/>
      <c r="E91" s="313"/>
      <c r="F91" s="313"/>
      <c r="G91" s="313"/>
      <c r="H91" s="313"/>
      <c r="I91" s="313"/>
      <c r="J91" s="313"/>
      <c r="K91" s="313"/>
    </row>
    <row r="92" spans="2:11" ht="16.5" x14ac:dyDescent="0.3">
      <c r="B92" s="10"/>
      <c r="C92" s="321">
        <v>2019</v>
      </c>
      <c r="D92" s="321"/>
      <c r="E92" s="37">
        <f>'[1]Population Projections'!$C$15</f>
        <v>446539</v>
      </c>
      <c r="F92" s="67">
        <v>1.170199730425193E-3</v>
      </c>
      <c r="G92" s="37">
        <f>'Waste by Jurisdiction'!M21</f>
        <v>19041.265055290038</v>
      </c>
      <c r="H92" s="37">
        <f>'Waste by Jurisdiction'!M35</f>
        <v>10367</v>
      </c>
      <c r="I92" s="37">
        <f>SUM(G92:H92)</f>
        <v>29408.265055290038</v>
      </c>
      <c r="J92" s="119"/>
      <c r="K92" s="126">
        <f>H92/I92</f>
        <v>0.35251994568564854</v>
      </c>
    </row>
    <row r="93" spans="2:11" ht="16.5" x14ac:dyDescent="0.3">
      <c r="B93" s="10"/>
      <c r="C93" s="321">
        <f t="shared" ref="C93:C98" si="43">C92+1</f>
        <v>2020</v>
      </c>
      <c r="D93" s="321"/>
      <c r="E93" s="37">
        <f>'[1]Population Projections'!$C$16</f>
        <v>448732</v>
      </c>
      <c r="F93" s="67">
        <v>6.7263933680515185E-4</v>
      </c>
      <c r="G93" s="308" t="s">
        <v>260</v>
      </c>
      <c r="H93" s="309"/>
      <c r="I93" s="309"/>
      <c r="J93" s="309"/>
      <c r="K93" s="310"/>
    </row>
    <row r="94" spans="2:11" ht="16.5" x14ac:dyDescent="0.3">
      <c r="B94" s="10"/>
      <c r="C94" s="321">
        <f t="shared" si="43"/>
        <v>2021</v>
      </c>
      <c r="D94" s="321"/>
      <c r="E94" s="37">
        <f>'[1]Population Projections'!$C$17</f>
        <v>451008</v>
      </c>
      <c r="F94" s="67">
        <v>6.4089660293204084E-3</v>
      </c>
      <c r="G94" s="37">
        <f>'Waste by Jurisdiction'!M59</f>
        <v>23044.330518163151</v>
      </c>
      <c r="H94" s="37">
        <f>'Waste by Jurisdiction'!M73</f>
        <v>10241</v>
      </c>
      <c r="I94" s="37">
        <f t="shared" ref="I94" si="44">SUM(G94:H94)</f>
        <v>33285.330518163151</v>
      </c>
      <c r="J94" s="119"/>
      <c r="K94" s="126">
        <f>H94/I94</f>
        <v>0.30767307521286852</v>
      </c>
    </row>
    <row r="95" spans="2:11" ht="16.5" x14ac:dyDescent="0.3">
      <c r="B95" s="10"/>
      <c r="C95" s="321">
        <f t="shared" si="43"/>
        <v>2022</v>
      </c>
      <c r="D95" s="321"/>
      <c r="E95" s="37">
        <f>'[1]Population Projections'!$C$18</f>
        <v>453448</v>
      </c>
      <c r="F95" s="67">
        <v>6.6188076221360146E-3</v>
      </c>
      <c r="G95" s="37">
        <f>I95-H95</f>
        <v>20622.46171750209</v>
      </c>
      <c r="H95" s="37">
        <f>H94*(1+J95)</f>
        <v>12883.178</v>
      </c>
      <c r="I95" s="37">
        <f>I94*(1+F95)</f>
        <v>33505.63971750209</v>
      </c>
      <c r="J95" s="124">
        <v>0.25800000000000001</v>
      </c>
      <c r="K95" s="126">
        <f t="shared" ref="K95:K98" si="45">H95/I95</f>
        <v>0.3845077458189915</v>
      </c>
    </row>
    <row r="96" spans="2:11" ht="16.5" x14ac:dyDescent="0.3">
      <c r="B96" s="10"/>
      <c r="C96" s="321">
        <f t="shared" si="43"/>
        <v>2023</v>
      </c>
      <c r="D96" s="321"/>
      <c r="E96" s="37">
        <f>'[1]Population Projections'!$C$19</f>
        <v>455863</v>
      </c>
      <c r="F96" s="67">
        <v>6.7609102680318608E-3</v>
      </c>
      <c r="G96" s="37">
        <f t="shared" ref="G96:G98" si="46">I96-H96</f>
        <v>17525.130417105127</v>
      </c>
      <c r="H96" s="37">
        <f t="shared" ref="H96:H98" si="47">H95*(1+J96)</f>
        <v>16207.037924</v>
      </c>
      <c r="I96" s="37">
        <f t="shared" ref="I96:I98" si="48">I95*(1+F96)</f>
        <v>33732.168341105127</v>
      </c>
      <c r="J96" s="124">
        <v>0.25800000000000001</v>
      </c>
      <c r="K96" s="126">
        <f t="shared" si="45"/>
        <v>0.48046238119387458</v>
      </c>
    </row>
    <row r="97" spans="2:11" ht="16.5" x14ac:dyDescent="0.3">
      <c r="B97" s="10"/>
      <c r="C97" s="321">
        <f t="shared" si="43"/>
        <v>2024</v>
      </c>
      <c r="D97" s="321"/>
      <c r="E97" s="37">
        <f>'[1]Population Projections'!$C$20</f>
        <v>458496</v>
      </c>
      <c r="F97" s="67">
        <v>7.2426546640297637E-3</v>
      </c>
      <c r="G97" s="37">
        <f t="shared" si="46"/>
        <v>13588.025079076673</v>
      </c>
      <c r="H97" s="37">
        <f t="shared" si="47"/>
        <v>20388.453708392</v>
      </c>
      <c r="I97" s="37">
        <f t="shared" si="48"/>
        <v>33976.478787468674</v>
      </c>
      <c r="J97" s="124">
        <v>0.25800000000000001</v>
      </c>
      <c r="K97" s="126">
        <f t="shared" si="45"/>
        <v>0.60007553566474181</v>
      </c>
    </row>
    <row r="98" spans="2:11" ht="16.5" x14ac:dyDescent="0.3">
      <c r="B98" s="10"/>
      <c r="C98" s="321">
        <f t="shared" si="43"/>
        <v>2025</v>
      </c>
      <c r="D98" s="321"/>
      <c r="E98" s="37">
        <f>'[1]Population Projections'!$C$21</f>
        <v>461159</v>
      </c>
      <c r="F98" s="67">
        <v>7.5026056225887755E-3</v>
      </c>
      <c r="G98" s="37">
        <f t="shared" si="46"/>
        <v>8582.7161430981723</v>
      </c>
      <c r="H98" s="37">
        <f t="shared" si="47"/>
        <v>25648.674765157135</v>
      </c>
      <c r="I98" s="37">
        <f t="shared" si="48"/>
        <v>34231.390908255307</v>
      </c>
      <c r="J98" s="124">
        <v>0.25800000000000001</v>
      </c>
      <c r="K98" s="126">
        <f t="shared" si="45"/>
        <v>0.74927352014117699</v>
      </c>
    </row>
    <row r="99" spans="2:11" ht="16.5" x14ac:dyDescent="0.3">
      <c r="B99" s="10"/>
      <c r="C99" s="39" t="s">
        <v>20</v>
      </c>
      <c r="D99" s="40"/>
      <c r="E99" s="40"/>
      <c r="F99" s="40"/>
      <c r="G99" s="40"/>
      <c r="H99" s="40"/>
      <c r="I99" s="40"/>
      <c r="J99" s="40"/>
      <c r="K99" s="40"/>
    </row>
    <row r="100" spans="2:11" x14ac:dyDescent="0.25">
      <c r="C100" s="35" t="s">
        <v>209</v>
      </c>
    </row>
    <row r="101" spans="2:11" x14ac:dyDescent="0.25">
      <c r="C101" s="35"/>
    </row>
    <row r="102" spans="2:11" ht="16.5" x14ac:dyDescent="0.3">
      <c r="B102" s="32" t="s">
        <v>196</v>
      </c>
      <c r="D102" s="10"/>
      <c r="E102" s="10"/>
      <c r="F102" s="10"/>
      <c r="G102" s="10"/>
      <c r="H102" s="10"/>
      <c r="I102" s="10"/>
      <c r="J102" s="40"/>
      <c r="K102" s="10"/>
    </row>
    <row r="103" spans="2:11" ht="16.5" x14ac:dyDescent="0.3">
      <c r="B103" s="10"/>
      <c r="C103" s="10"/>
      <c r="D103" s="10"/>
      <c r="E103" s="10"/>
      <c r="F103" s="10"/>
      <c r="G103" s="10"/>
      <c r="H103" s="10"/>
      <c r="I103" s="10"/>
      <c r="J103" s="40"/>
      <c r="K103" s="10"/>
    </row>
    <row r="104" spans="2:11" ht="16.5" x14ac:dyDescent="0.3">
      <c r="B104" s="10"/>
      <c r="C104" s="127" t="s">
        <v>13</v>
      </c>
      <c r="D104" s="128"/>
      <c r="E104" s="312" t="s">
        <v>14</v>
      </c>
      <c r="F104" s="312" t="s">
        <v>15</v>
      </c>
      <c r="G104" s="312" t="s">
        <v>16</v>
      </c>
      <c r="H104" s="312" t="s">
        <v>17</v>
      </c>
      <c r="I104" s="312" t="s">
        <v>18</v>
      </c>
      <c r="J104" s="312" t="s">
        <v>210</v>
      </c>
      <c r="K104" s="312" t="s">
        <v>208</v>
      </c>
    </row>
    <row r="105" spans="2:11" ht="39" customHeight="1" x14ac:dyDescent="0.3">
      <c r="B105" s="10"/>
      <c r="C105" s="129"/>
      <c r="D105" s="130"/>
      <c r="E105" s="313"/>
      <c r="F105" s="313"/>
      <c r="G105" s="313"/>
      <c r="H105" s="313"/>
      <c r="I105" s="313"/>
      <c r="J105" s="313"/>
      <c r="K105" s="313"/>
    </row>
    <row r="106" spans="2:11" ht="16.5" x14ac:dyDescent="0.3">
      <c r="B106" s="10"/>
      <c r="C106" s="131">
        <v>2019</v>
      </c>
      <c r="D106" s="131"/>
      <c r="E106" s="37">
        <f>'[1]Population Projections'!$C$15</f>
        <v>446539</v>
      </c>
      <c r="F106" s="67">
        <v>1.170199730425193E-3</v>
      </c>
      <c r="G106" s="94">
        <f>'Waste by Jurisdiction'!N21</f>
        <v>11105.828425915744</v>
      </c>
      <c r="H106" s="94">
        <f>'Waste by Jurisdiction'!N35</f>
        <v>30718</v>
      </c>
      <c r="I106" s="94">
        <f>SUM(G106:H106)</f>
        <v>41823.828425915744</v>
      </c>
      <c r="J106" s="119"/>
      <c r="K106" s="125">
        <f>H106/I106</f>
        <v>0.73446169698242825</v>
      </c>
    </row>
    <row r="107" spans="2:11" ht="16.5" x14ac:dyDescent="0.3">
      <c r="B107" s="10"/>
      <c r="C107" s="131">
        <f t="shared" ref="C107:C112" si="49">C106+1</f>
        <v>2020</v>
      </c>
      <c r="D107" s="131"/>
      <c r="E107" s="37">
        <f>'[1]Population Projections'!$C$16</f>
        <v>448732</v>
      </c>
      <c r="F107" s="67">
        <v>6.7263933680515185E-4</v>
      </c>
      <c r="G107" s="308" t="s">
        <v>260</v>
      </c>
      <c r="H107" s="309"/>
      <c r="I107" s="309"/>
      <c r="J107" s="309"/>
      <c r="K107" s="310"/>
    </row>
    <row r="108" spans="2:11" ht="16.5" x14ac:dyDescent="0.3">
      <c r="B108" s="10"/>
      <c r="C108" s="131">
        <f t="shared" si="49"/>
        <v>2021</v>
      </c>
      <c r="D108" s="131"/>
      <c r="E108" s="37">
        <f>'[1]Population Projections'!$C$17</f>
        <v>451008</v>
      </c>
      <c r="F108" s="67">
        <v>6.4089660293204084E-3</v>
      </c>
      <c r="G108" s="94">
        <f>'Waste by Jurisdiction'!N59</f>
        <v>9616.4428139656738</v>
      </c>
      <c r="H108" s="94">
        <f>'Waste by Jurisdiction'!N73</f>
        <v>24335</v>
      </c>
      <c r="I108" s="94">
        <f t="shared" ref="I108" si="50">SUM(G108:H108)</f>
        <v>33951.442813965674</v>
      </c>
      <c r="J108" s="119"/>
      <c r="K108" s="125">
        <f>H108/I108</f>
        <v>0.71675893520466172</v>
      </c>
    </row>
    <row r="109" spans="2:11" ht="16.5" x14ac:dyDescent="0.3">
      <c r="B109" s="10"/>
      <c r="C109" s="131">
        <f t="shared" si="49"/>
        <v>2022</v>
      </c>
      <c r="D109" s="131"/>
      <c r="E109" s="37">
        <f>'[1]Population Projections'!$C$18</f>
        <v>453448</v>
      </c>
      <c r="F109" s="67">
        <v>6.6188076221360146E-3</v>
      </c>
      <c r="G109" s="37">
        <f>I109-H109</f>
        <v>9378.7958824452653</v>
      </c>
      <c r="H109" s="37">
        <f>H108*(1+J109)</f>
        <v>24797.364999999998</v>
      </c>
      <c r="I109" s="37">
        <f>I108*(1+F109)</f>
        <v>34176.160882445263</v>
      </c>
      <c r="J109" s="124">
        <v>1.9E-2</v>
      </c>
      <c r="K109" s="125">
        <f t="shared" ref="K109:K112" si="51">H109/I109</f>
        <v>0.72557491420100595</v>
      </c>
    </row>
    <row r="110" spans="2:11" ht="16.5" x14ac:dyDescent="0.3">
      <c r="B110" s="10"/>
      <c r="C110" s="131">
        <f t="shared" si="49"/>
        <v>2023</v>
      </c>
      <c r="D110" s="131"/>
      <c r="E110" s="37">
        <f>'[1]Population Projections'!$C$19</f>
        <v>455863</v>
      </c>
      <c r="F110" s="67">
        <v>6.7609102680318608E-3</v>
      </c>
      <c r="G110" s="37">
        <f t="shared" ref="G110:G112" si="52">I110-H110</f>
        <v>9138.7079044773018</v>
      </c>
      <c r="H110" s="37">
        <f t="shared" ref="H110:H112" si="53">H109*(1+J110)</f>
        <v>25268.514934999996</v>
      </c>
      <c r="I110" s="37">
        <f t="shared" ref="I110:I112" si="54">I109*(1+F110)</f>
        <v>34407.222839477297</v>
      </c>
      <c r="J110" s="124">
        <v>1.9E-2</v>
      </c>
      <c r="K110" s="125">
        <f t="shared" si="51"/>
        <v>0.73439565444985699</v>
      </c>
    </row>
    <row r="111" spans="2:11" ht="16.5" x14ac:dyDescent="0.3">
      <c r="B111" s="10"/>
      <c r="C111" s="131">
        <f t="shared" si="49"/>
        <v>2024</v>
      </c>
      <c r="D111" s="131"/>
      <c r="E111" s="37">
        <f>'[1]Population Projections'!$C$20</f>
        <v>458496</v>
      </c>
      <c r="F111" s="67">
        <v>7.2426546640297637E-3</v>
      </c>
      <c r="G111" s="37">
        <f t="shared" si="52"/>
        <v>8907.8057536869601</v>
      </c>
      <c r="H111" s="37">
        <f t="shared" si="53"/>
        <v>25748.616718764992</v>
      </c>
      <c r="I111" s="37">
        <f t="shared" si="54"/>
        <v>34656.422472451952</v>
      </c>
      <c r="J111" s="124">
        <v>1.9E-2</v>
      </c>
      <c r="K111" s="125">
        <f t="shared" si="51"/>
        <v>0.7429681104341429</v>
      </c>
    </row>
    <row r="112" spans="2:11" ht="16.5" x14ac:dyDescent="0.3">
      <c r="B112" s="10"/>
      <c r="C112" s="131">
        <f t="shared" si="49"/>
        <v>2025</v>
      </c>
      <c r="D112" s="131"/>
      <c r="E112" s="37">
        <f>'[1]Population Projections'!$C$21</f>
        <v>461159</v>
      </c>
      <c r="F112" s="67">
        <v>7.5026056225887755E-3</v>
      </c>
      <c r="G112" s="37">
        <f t="shared" si="52"/>
        <v>8678.5955061310597</v>
      </c>
      <c r="H112" s="37">
        <f t="shared" si="53"/>
        <v>26237.840436421524</v>
      </c>
      <c r="I112" s="37">
        <f t="shared" si="54"/>
        <v>34916.435942552584</v>
      </c>
      <c r="J112" s="124">
        <v>1.9E-2</v>
      </c>
      <c r="K112" s="125">
        <f t="shared" si="51"/>
        <v>0.75144669632347916</v>
      </c>
    </row>
    <row r="113" spans="2:11" ht="16.5" x14ac:dyDescent="0.3">
      <c r="B113" s="10"/>
      <c r="C113" s="39" t="s">
        <v>20</v>
      </c>
      <c r="D113" s="40"/>
      <c r="E113" s="40"/>
      <c r="F113" s="40"/>
      <c r="G113" s="40"/>
      <c r="H113" s="40"/>
      <c r="I113" s="40"/>
      <c r="J113" s="40"/>
      <c r="K113" s="40"/>
    </row>
    <row r="114" spans="2:11" x14ac:dyDescent="0.25">
      <c r="C114" s="35" t="s">
        <v>209</v>
      </c>
    </row>
    <row r="115" spans="2:11" x14ac:dyDescent="0.25">
      <c r="C115" s="35"/>
    </row>
    <row r="116" spans="2:11" ht="16.5" x14ac:dyDescent="0.3">
      <c r="B116" s="32" t="s">
        <v>197</v>
      </c>
      <c r="C116" s="10"/>
      <c r="D116" s="10"/>
      <c r="E116" s="10"/>
      <c r="F116" s="10"/>
      <c r="G116" s="10"/>
      <c r="H116" s="10"/>
      <c r="I116" s="10"/>
      <c r="J116" s="40"/>
      <c r="K116" s="10"/>
    </row>
    <row r="117" spans="2:11" ht="7.5" customHeight="1" x14ac:dyDescent="0.3">
      <c r="B117" s="10"/>
      <c r="C117" s="10"/>
      <c r="D117" s="10"/>
      <c r="E117" s="10"/>
      <c r="F117" s="10"/>
      <c r="G117" s="10"/>
      <c r="H117" s="10"/>
      <c r="I117" s="10"/>
      <c r="J117" s="40"/>
      <c r="K117" s="10"/>
    </row>
    <row r="118" spans="2:11" ht="21.75" customHeight="1" x14ac:dyDescent="0.3">
      <c r="B118" s="10"/>
      <c r="C118" s="127" t="s">
        <v>13</v>
      </c>
      <c r="D118" s="128"/>
      <c r="E118" s="312" t="s">
        <v>14</v>
      </c>
      <c r="F118" s="312" t="s">
        <v>15</v>
      </c>
      <c r="G118" s="312" t="s">
        <v>230</v>
      </c>
      <c r="H118" s="312" t="s">
        <v>17</v>
      </c>
      <c r="I118" s="312" t="s">
        <v>18</v>
      </c>
      <c r="J118" s="312" t="s">
        <v>231</v>
      </c>
      <c r="K118" s="312" t="s">
        <v>19</v>
      </c>
    </row>
    <row r="119" spans="2:11" ht="26.25" customHeight="1" x14ac:dyDescent="0.3">
      <c r="B119" s="10"/>
      <c r="C119" s="129"/>
      <c r="D119" s="130"/>
      <c r="E119" s="313"/>
      <c r="F119" s="313"/>
      <c r="G119" s="313"/>
      <c r="H119" s="313"/>
      <c r="I119" s="313"/>
      <c r="J119" s="313"/>
      <c r="K119" s="313"/>
    </row>
    <row r="120" spans="2:11" ht="16.5" x14ac:dyDescent="0.3">
      <c r="B120" s="10"/>
      <c r="C120" s="131">
        <v>2019</v>
      </c>
      <c r="D120" s="131"/>
      <c r="E120" s="37">
        <f>'[1]Population Projections'!$C$15</f>
        <v>446539</v>
      </c>
      <c r="F120" s="67">
        <v>1.170199730425193E-3</v>
      </c>
      <c r="G120" s="37">
        <f>'Waste by Jurisdiction'!O21</f>
        <v>18273</v>
      </c>
      <c r="H120" s="37">
        <f>'Waste by Jurisdiction'!O35</f>
        <v>361978</v>
      </c>
      <c r="I120" s="37">
        <f>SUM(G120:H120)</f>
        <v>380251</v>
      </c>
      <c r="J120" s="119"/>
      <c r="K120" s="38">
        <f>H120/I120</f>
        <v>0.95194489955318984</v>
      </c>
    </row>
    <row r="121" spans="2:11" ht="16.5" x14ac:dyDescent="0.3">
      <c r="B121" s="10"/>
      <c r="C121" s="131">
        <f t="shared" ref="C121:C126" si="55">C120+1</f>
        <v>2020</v>
      </c>
      <c r="D121" s="131"/>
      <c r="E121" s="37">
        <f>'[1]Population Projections'!$C$16</f>
        <v>448732</v>
      </c>
      <c r="F121" s="67">
        <v>6.7263933680515185E-4</v>
      </c>
      <c r="G121" s="308" t="s">
        <v>260</v>
      </c>
      <c r="H121" s="309"/>
      <c r="I121" s="309"/>
      <c r="J121" s="309"/>
      <c r="K121" s="310"/>
    </row>
    <row r="122" spans="2:11" ht="16.5" x14ac:dyDescent="0.3">
      <c r="B122" s="10"/>
      <c r="C122" s="131">
        <f t="shared" si="55"/>
        <v>2021</v>
      </c>
      <c r="D122" s="131"/>
      <c r="E122" s="37">
        <f>'[1]Population Projections'!$C$17</f>
        <v>451008</v>
      </c>
      <c r="F122" s="67">
        <v>6.4089660293204084E-3</v>
      </c>
      <c r="G122" s="37">
        <f>'Waste by Jurisdiction'!O59</f>
        <v>75442.92</v>
      </c>
      <c r="H122" s="37">
        <f>'Waste by Jurisdiction'!O73</f>
        <v>316827</v>
      </c>
      <c r="I122" s="37">
        <f t="shared" ref="I122:I126" si="56">SUM(G122:H122)</f>
        <v>392269.92</v>
      </c>
      <c r="J122" s="119"/>
      <c r="K122" s="38">
        <f>H122/I122</f>
        <v>0.80767600023983488</v>
      </c>
    </row>
    <row r="123" spans="2:11" ht="16.5" x14ac:dyDescent="0.3">
      <c r="B123" s="10"/>
      <c r="C123" s="131">
        <f t="shared" si="55"/>
        <v>2022</v>
      </c>
      <c r="D123" s="131"/>
      <c r="E123" s="37">
        <f>'[1]Population Projections'!$C$18</f>
        <v>453448</v>
      </c>
      <c r="F123" s="67">
        <v>6.6188076221360146E-3</v>
      </c>
      <c r="G123" s="37">
        <f>G122*(1+F123)</f>
        <v>75942.262173932206</v>
      </c>
      <c r="H123" s="37">
        <f>H122*(1+F123)</f>
        <v>318924.01696249848</v>
      </c>
      <c r="I123" s="37">
        <f t="shared" si="56"/>
        <v>394866.2791364307</v>
      </c>
      <c r="J123" s="119">
        <v>0</v>
      </c>
      <c r="K123" s="38">
        <f>H123/I123</f>
        <v>0.80767600023983477</v>
      </c>
    </row>
    <row r="124" spans="2:11" ht="16.5" x14ac:dyDescent="0.3">
      <c r="B124" s="10"/>
      <c r="C124" s="131">
        <f t="shared" si="55"/>
        <v>2023</v>
      </c>
      <c r="D124" s="131"/>
      <c r="E124" s="37">
        <f>'[1]Population Projections'!$C$19</f>
        <v>455863</v>
      </c>
      <c r="F124" s="67">
        <v>6.7609102680318608E-3</v>
      </c>
      <c r="G124" s="37">
        <f t="shared" ref="G124:G126" si="57">G123*(1+F124)</f>
        <v>76455.700994041516</v>
      </c>
      <c r="H124" s="37">
        <f>H123*(1+F124)</f>
        <v>321080.23362350225</v>
      </c>
      <c r="I124" s="37">
        <f t="shared" si="56"/>
        <v>397535.93461754377</v>
      </c>
      <c r="J124" s="119">
        <v>0</v>
      </c>
      <c r="K124" s="38">
        <f t="shared" ref="K124:K126" si="58">H124/I124</f>
        <v>0.80767600023983488</v>
      </c>
    </row>
    <row r="125" spans="2:11" ht="16.5" x14ac:dyDescent="0.3">
      <c r="B125" s="10"/>
      <c r="C125" s="131">
        <f t="shared" si="55"/>
        <v>2024</v>
      </c>
      <c r="D125" s="131"/>
      <c r="E125" s="37">
        <f>'[1]Population Projections'!$C$20</f>
        <v>458496</v>
      </c>
      <c r="F125" s="67">
        <v>7.2426546640297637E-3</v>
      </c>
      <c r="G125" s="37">
        <f t="shared" si="57"/>
        <v>77009.443233437676</v>
      </c>
      <c r="H125" s="37">
        <f>H124*(1+F125)</f>
        <v>323405.70687508333</v>
      </c>
      <c r="I125" s="37">
        <f t="shared" si="56"/>
        <v>400415.15010852099</v>
      </c>
      <c r="J125" s="119">
        <v>0</v>
      </c>
      <c r="K125" s="38">
        <f t="shared" si="58"/>
        <v>0.80767600023983488</v>
      </c>
    </row>
    <row r="126" spans="2:11" ht="16.5" x14ac:dyDescent="0.3">
      <c r="B126" s="10"/>
      <c r="C126" s="131">
        <f t="shared" si="55"/>
        <v>2025</v>
      </c>
      <c r="D126" s="131"/>
      <c r="E126" s="37">
        <f>'[1]Population Projections'!$C$21</f>
        <v>461159</v>
      </c>
      <c r="F126" s="67">
        <v>7.5026056225887755E-3</v>
      </c>
      <c r="G126" s="37">
        <f t="shared" si="57"/>
        <v>77587.214715233305</v>
      </c>
      <c r="H126" s="37">
        <f t="shared" ref="H126" si="59">H125*(1+F126)</f>
        <v>325832.09234986163</v>
      </c>
      <c r="I126" s="37">
        <f t="shared" si="56"/>
        <v>403419.30706509494</v>
      </c>
      <c r="J126" s="119">
        <v>0</v>
      </c>
      <c r="K126" s="38">
        <f t="shared" si="58"/>
        <v>0.80767600023983488</v>
      </c>
    </row>
    <row r="127" spans="2:11" ht="16.5" x14ac:dyDescent="0.3">
      <c r="B127" s="10"/>
      <c r="C127" s="39" t="s">
        <v>20</v>
      </c>
      <c r="D127" s="40"/>
      <c r="E127" s="40"/>
      <c r="F127" s="40"/>
      <c r="G127" s="40"/>
      <c r="H127" s="40"/>
      <c r="I127" s="40"/>
      <c r="J127" s="40"/>
      <c r="K127" s="40"/>
    </row>
    <row r="128" spans="2:11" ht="16.5" customHeight="1" x14ac:dyDescent="0.25">
      <c r="C128" s="35" t="s">
        <v>232</v>
      </c>
    </row>
    <row r="129" spans="2:11" ht="16.5" customHeight="1" x14ac:dyDescent="0.25">
      <c r="C129" s="35" t="s">
        <v>233</v>
      </c>
    </row>
    <row r="130" spans="2:11" ht="35.25" customHeight="1" x14ac:dyDescent="0.3">
      <c r="B130" s="32" t="s">
        <v>198</v>
      </c>
      <c r="D130" s="10"/>
      <c r="E130" s="10"/>
      <c r="F130" s="10"/>
      <c r="G130" s="10"/>
      <c r="H130" s="10"/>
      <c r="I130" s="10"/>
      <c r="J130" s="40"/>
      <c r="K130" s="10"/>
    </row>
    <row r="131" spans="2:11" ht="16.5" x14ac:dyDescent="0.3">
      <c r="B131" s="10"/>
      <c r="C131" s="10"/>
      <c r="D131" s="10"/>
      <c r="E131" s="10"/>
      <c r="F131" s="10"/>
      <c r="G131" s="10"/>
      <c r="H131" s="10"/>
      <c r="I131" s="10"/>
      <c r="J131" s="40"/>
      <c r="K131" s="10"/>
    </row>
    <row r="132" spans="2:11" ht="37.5" customHeight="1" x14ac:dyDescent="0.3">
      <c r="B132" s="10"/>
      <c r="C132" s="127" t="s">
        <v>13</v>
      </c>
      <c r="D132" s="128"/>
      <c r="E132" s="312" t="s">
        <v>14</v>
      </c>
      <c r="F132" s="312" t="s">
        <v>15</v>
      </c>
      <c r="G132" s="312" t="s">
        <v>16</v>
      </c>
      <c r="H132" s="312" t="s">
        <v>17</v>
      </c>
      <c r="I132" s="312" t="s">
        <v>18</v>
      </c>
      <c r="J132" s="312" t="s">
        <v>210</v>
      </c>
      <c r="K132" s="312" t="s">
        <v>19</v>
      </c>
    </row>
    <row r="133" spans="2:11" ht="16.5" x14ac:dyDescent="0.3">
      <c r="B133" s="10"/>
      <c r="C133" s="129"/>
      <c r="D133" s="130"/>
      <c r="E133" s="313"/>
      <c r="F133" s="313"/>
      <c r="G133" s="313"/>
      <c r="H133" s="313"/>
      <c r="I133" s="313"/>
      <c r="J133" s="313"/>
      <c r="K133" s="313"/>
    </row>
    <row r="134" spans="2:11" ht="16.5" x14ac:dyDescent="0.3">
      <c r="B134" s="10"/>
      <c r="C134" s="131">
        <v>2019</v>
      </c>
      <c r="D134" s="131"/>
      <c r="E134" s="37">
        <f>'[1]Population Projections'!$C$15</f>
        <v>446539</v>
      </c>
      <c r="F134" s="67">
        <v>1.170199730425193E-3</v>
      </c>
      <c r="G134" s="37">
        <f>'Waste by Jurisdiction'!P21</f>
        <v>13393.371833616307</v>
      </c>
      <c r="H134" s="37">
        <f>'Waste by Jurisdiction'!P35</f>
        <v>15811.43</v>
      </c>
      <c r="I134" s="37">
        <f>SUM(G134:H134)</f>
        <v>29204.801833616308</v>
      </c>
      <c r="J134" s="119"/>
      <c r="K134" s="126">
        <f>H134/I134</f>
        <v>0.54139829778951587</v>
      </c>
    </row>
    <row r="135" spans="2:11" ht="16.5" x14ac:dyDescent="0.3">
      <c r="B135" s="10"/>
      <c r="C135" s="131">
        <f t="shared" ref="C135:C140" si="60">C134+1</f>
        <v>2020</v>
      </c>
      <c r="D135" s="131"/>
      <c r="E135" s="37">
        <f>'[1]Population Projections'!$C$16</f>
        <v>448732</v>
      </c>
      <c r="F135" s="67">
        <v>6.7263933680515185E-4</v>
      </c>
      <c r="G135" s="308" t="s">
        <v>260</v>
      </c>
      <c r="H135" s="309"/>
      <c r="I135" s="309"/>
      <c r="J135" s="309"/>
      <c r="K135" s="310"/>
    </row>
    <row r="136" spans="2:11" ht="16.5" x14ac:dyDescent="0.3">
      <c r="B136" s="10"/>
      <c r="C136" s="131">
        <f t="shared" si="60"/>
        <v>2021</v>
      </c>
      <c r="D136" s="131"/>
      <c r="E136" s="37">
        <f>'[1]Population Projections'!$C$17</f>
        <v>451008</v>
      </c>
      <c r="F136" s="67">
        <v>6.4089660293204084E-3</v>
      </c>
      <c r="G136" s="37">
        <f>'Waste by Jurisdiction'!P59</f>
        <v>24098.501320705735</v>
      </c>
      <c r="H136" s="37">
        <f>'Waste by Jurisdiction'!P73</f>
        <v>22168.170000000002</v>
      </c>
      <c r="I136" s="37">
        <f t="shared" ref="I136" si="61">SUM(G136:H136)</f>
        <v>46266.671320705733</v>
      </c>
      <c r="J136" s="119"/>
      <c r="K136" s="126">
        <f>H136/I136</f>
        <v>0.47913907284008728</v>
      </c>
    </row>
    <row r="137" spans="2:11" ht="16.5" x14ac:dyDescent="0.3">
      <c r="B137" s="10"/>
      <c r="C137" s="131">
        <f t="shared" si="60"/>
        <v>2022</v>
      </c>
      <c r="D137" s="131"/>
      <c r="E137" s="37">
        <f>'[1]Population Projections'!$C$18</f>
        <v>453448</v>
      </c>
      <c r="F137" s="67">
        <v>6.6188076221360146E-3</v>
      </c>
      <c r="G137" s="37">
        <f>I137-H137</f>
        <v>21611.542097494086</v>
      </c>
      <c r="H137" s="37">
        <f>H136*(1+J137)</f>
        <v>24961.359420000001</v>
      </c>
      <c r="I137" s="37">
        <f>I136*(1+F137)</f>
        <v>46572.901517494087</v>
      </c>
      <c r="J137" s="124">
        <v>0.126</v>
      </c>
      <c r="K137" s="126">
        <f t="shared" ref="K137:K140" si="62">H137/I137</f>
        <v>0.5359631589761229</v>
      </c>
    </row>
    <row r="138" spans="2:11" ht="16.5" x14ac:dyDescent="0.3">
      <c r="B138" s="10"/>
      <c r="C138" s="131">
        <f t="shared" si="60"/>
        <v>2023</v>
      </c>
      <c r="D138" s="131"/>
      <c r="E138" s="37">
        <f>'[1]Population Projections'!$C$19</f>
        <v>455863</v>
      </c>
      <c r="F138" s="67">
        <v>6.7609102680318608E-3</v>
      </c>
      <c r="G138" s="37">
        <f t="shared" ref="G138:G140" si="63">I138-H138</f>
        <v>18781.286018655752</v>
      </c>
      <c r="H138" s="37">
        <f t="shared" ref="H138:H140" si="64">H137*(1+J138)</f>
        <v>28106.490706919998</v>
      </c>
      <c r="I138" s="37">
        <f t="shared" ref="I138:I140" si="65">I137*(1+F138)</f>
        <v>46887.77672557575</v>
      </c>
      <c r="J138" s="124">
        <v>0.126</v>
      </c>
      <c r="K138" s="126">
        <f t="shared" si="62"/>
        <v>0.59944174515719417</v>
      </c>
    </row>
    <row r="139" spans="2:11" ht="16.5" x14ac:dyDescent="0.3">
      <c r="B139" s="10"/>
      <c r="C139" s="131">
        <f t="shared" si="60"/>
        <v>2024</v>
      </c>
      <c r="D139" s="131"/>
      <c r="E139" s="37">
        <f>'[1]Population Projections'!$C$20</f>
        <v>458496</v>
      </c>
      <c r="F139" s="67">
        <v>7.2426546640297637E-3</v>
      </c>
      <c r="G139" s="37">
        <f t="shared" si="63"/>
        <v>15579.460164371314</v>
      </c>
      <c r="H139" s="37">
        <f t="shared" si="64"/>
        <v>31647.908535991915</v>
      </c>
      <c r="I139" s="37">
        <f t="shared" si="65"/>
        <v>47227.368700363229</v>
      </c>
      <c r="J139" s="124">
        <v>0.126</v>
      </c>
      <c r="K139" s="126">
        <f t="shared" si="62"/>
        <v>0.67011797199170464</v>
      </c>
    </row>
    <row r="140" spans="2:11" ht="16.5" x14ac:dyDescent="0.3">
      <c r="B140" s="10"/>
      <c r="C140" s="131">
        <f t="shared" si="60"/>
        <v>2025</v>
      </c>
      <c r="D140" s="131"/>
      <c r="E140" s="37">
        <f>'[1]Population Projections'!$C$21</f>
        <v>461159</v>
      </c>
      <c r="F140" s="67">
        <v>7.5026056225887755E-3</v>
      </c>
      <c r="G140" s="37">
        <f t="shared" si="63"/>
        <v>11946.152010787759</v>
      </c>
      <c r="H140" s="37">
        <f t="shared" si="64"/>
        <v>35635.54501152689</v>
      </c>
      <c r="I140" s="37">
        <f t="shared" si="65"/>
        <v>47581.697022314649</v>
      </c>
      <c r="J140" s="124">
        <v>0.126</v>
      </c>
      <c r="K140" s="126">
        <f t="shared" si="62"/>
        <v>0.74893388091674606</v>
      </c>
    </row>
    <row r="141" spans="2:11" ht="16.5" x14ac:dyDescent="0.3">
      <c r="B141" s="10"/>
      <c r="C141" s="39" t="s">
        <v>20</v>
      </c>
      <c r="D141" s="40"/>
      <c r="E141" s="40"/>
      <c r="F141" s="40"/>
      <c r="G141" s="40"/>
      <c r="H141" s="40"/>
      <c r="I141" s="40"/>
      <c r="J141" s="40"/>
      <c r="K141" s="40"/>
    </row>
    <row r="142" spans="2:11" ht="16.5" x14ac:dyDescent="0.3">
      <c r="B142" s="10"/>
      <c r="C142" s="35" t="s">
        <v>209</v>
      </c>
      <c r="D142" s="40"/>
      <c r="E142" s="40"/>
      <c r="F142" s="40"/>
      <c r="G142" s="40"/>
      <c r="H142" s="40"/>
      <c r="I142" s="40"/>
      <c r="J142" s="40"/>
      <c r="K142" s="40"/>
    </row>
    <row r="143" spans="2:11" ht="42.75" customHeight="1" x14ac:dyDescent="0.3">
      <c r="B143" s="32" t="s">
        <v>199</v>
      </c>
      <c r="C143" s="39"/>
      <c r="D143" s="10"/>
      <c r="E143" s="10"/>
      <c r="F143" s="10"/>
      <c r="G143" s="10"/>
      <c r="H143" s="10"/>
      <c r="I143" s="10"/>
      <c r="J143" s="40"/>
      <c r="K143" s="10"/>
    </row>
    <row r="144" spans="2:11" ht="16.5" customHeight="1" x14ac:dyDescent="0.3">
      <c r="B144" s="10"/>
      <c r="C144" s="10"/>
    </row>
    <row r="145" spans="2:11" ht="31.5" customHeight="1" x14ac:dyDescent="0.3">
      <c r="B145" s="10"/>
      <c r="C145" s="127" t="s">
        <v>13</v>
      </c>
      <c r="D145" s="134"/>
      <c r="E145" s="136" t="s">
        <v>14</v>
      </c>
      <c r="F145" s="136" t="s">
        <v>15</v>
      </c>
      <c r="G145" s="136" t="s">
        <v>16</v>
      </c>
      <c r="H145" s="136" t="s">
        <v>17</v>
      </c>
      <c r="I145" s="312" t="s">
        <v>18</v>
      </c>
      <c r="J145" s="312" t="s">
        <v>210</v>
      </c>
      <c r="K145" s="136" t="s">
        <v>208</v>
      </c>
    </row>
    <row r="146" spans="2:11" ht="16.5" x14ac:dyDescent="0.3">
      <c r="B146" s="10"/>
      <c r="C146" s="129"/>
      <c r="D146" s="135"/>
      <c r="E146" s="137"/>
      <c r="F146" s="137"/>
      <c r="G146" s="137"/>
      <c r="H146" s="137"/>
      <c r="I146" s="313"/>
      <c r="J146" s="313"/>
      <c r="K146" s="137"/>
    </row>
    <row r="147" spans="2:11" ht="16.5" x14ac:dyDescent="0.3">
      <c r="B147" s="10"/>
      <c r="C147" s="131">
        <v>2019</v>
      </c>
      <c r="D147" s="133"/>
      <c r="E147" s="37">
        <f>'[1]Population Projections'!$C$15</f>
        <v>446539</v>
      </c>
      <c r="F147" s="67">
        <v>1.170199730425193E-3</v>
      </c>
      <c r="G147" s="94">
        <f>'Waste by Jurisdiction'!Q21</f>
        <v>41142.216089344889</v>
      </c>
      <c r="H147" s="94">
        <f>'Waste by Jurisdiction'!Q35</f>
        <v>22532</v>
      </c>
      <c r="I147" s="94">
        <f>SUM(G147:H147)</f>
        <v>63674.216089344889</v>
      </c>
      <c r="J147" s="119"/>
      <c r="K147" s="125">
        <f>H147/I147</f>
        <v>0.35386379894153824</v>
      </c>
    </row>
    <row r="148" spans="2:11" ht="16.5" x14ac:dyDescent="0.3">
      <c r="B148" s="10"/>
      <c r="C148" s="131">
        <f t="shared" ref="C148:C153" si="66">C147+1</f>
        <v>2020</v>
      </c>
      <c r="D148" s="133"/>
      <c r="E148" s="37">
        <f>'[1]Population Projections'!$C$16</f>
        <v>448732</v>
      </c>
      <c r="F148" s="67">
        <v>6.7263933680515185E-4</v>
      </c>
      <c r="G148" s="308" t="s">
        <v>260</v>
      </c>
      <c r="H148" s="309"/>
      <c r="I148" s="309"/>
      <c r="J148" s="309"/>
      <c r="K148" s="310"/>
    </row>
    <row r="149" spans="2:11" ht="16.5" x14ac:dyDescent="0.3">
      <c r="B149" s="10"/>
      <c r="C149" s="131">
        <f t="shared" si="66"/>
        <v>2021</v>
      </c>
      <c r="D149" s="133"/>
      <c r="E149" s="37">
        <f>'[1]Population Projections'!$C$17</f>
        <v>451008</v>
      </c>
      <c r="F149" s="67">
        <v>6.4089660293204084E-3</v>
      </c>
      <c r="G149" s="37">
        <f>'Waste by Jurisdiction'!Q59</f>
        <v>35674.748479406218</v>
      </c>
      <c r="H149" s="37">
        <f>'Waste by Jurisdiction'!Q73</f>
        <v>19625</v>
      </c>
      <c r="I149" s="37">
        <f t="shared" ref="I149" si="67">SUM(G149:H149)</f>
        <v>55299.748479406218</v>
      </c>
      <c r="J149" s="119"/>
      <c r="K149" s="125">
        <f>H149/I149</f>
        <v>0.35488407342952755</v>
      </c>
    </row>
    <row r="150" spans="2:11" ht="16.5" x14ac:dyDescent="0.3">
      <c r="B150" s="10"/>
      <c r="C150" s="131">
        <f t="shared" si="66"/>
        <v>2022</v>
      </c>
      <c r="D150" s="133"/>
      <c r="E150" s="37">
        <f>'[1]Population Projections'!$C$18</f>
        <v>453448</v>
      </c>
      <c r="F150" s="67">
        <v>6.6188076221360146E-3</v>
      </c>
      <c r="G150" s="37">
        <f>I150-H150</f>
        <v>31841.01687614392</v>
      </c>
      <c r="H150" s="37">
        <f>H149*(1+J150)</f>
        <v>23824.75</v>
      </c>
      <c r="I150" s="37">
        <f>I149*(1+F150)</f>
        <v>55665.76687614392</v>
      </c>
      <c r="J150" s="124">
        <v>0.214</v>
      </c>
      <c r="K150" s="125">
        <f t="shared" ref="K150:K153" si="68">H150/I150</f>
        <v>0.42799643905041246</v>
      </c>
    </row>
    <row r="151" spans="2:11" ht="16.5" x14ac:dyDescent="0.3">
      <c r="B151" s="10"/>
      <c r="C151" s="131">
        <f t="shared" si="66"/>
        <v>2023</v>
      </c>
      <c r="D151" s="133"/>
      <c r="E151" s="37">
        <f>'[1]Population Projections'!$C$19</f>
        <v>455863</v>
      </c>
      <c r="F151" s="67">
        <v>6.7609102680318608E-3</v>
      </c>
      <c r="G151" s="37">
        <f t="shared" ref="G151:G153" si="69">I151-H151</f>
        <v>27118.871630994716</v>
      </c>
      <c r="H151" s="37">
        <f t="shared" ref="H151:H153" si="70">H150*(1+J151)</f>
        <v>28923.246499999997</v>
      </c>
      <c r="I151" s="37">
        <f t="shared" ref="I151:I153" si="71">I150*(1+F151)</f>
        <v>56042.118130994713</v>
      </c>
      <c r="J151" s="124">
        <v>0.214</v>
      </c>
      <c r="K151" s="125">
        <f t="shared" si="68"/>
        <v>0.51609838215596771</v>
      </c>
    </row>
    <row r="152" spans="2:11" ht="16.5" x14ac:dyDescent="0.3">
      <c r="B152" s="10"/>
      <c r="C152" s="131">
        <f t="shared" si="66"/>
        <v>2024</v>
      </c>
      <c r="D152" s="133"/>
      <c r="E152" s="37">
        <f>'[1]Population Projections'!$C$20</f>
        <v>458496</v>
      </c>
      <c r="F152" s="67">
        <v>7.2426546640297637E-3</v>
      </c>
      <c r="G152" s="37">
        <f t="shared" si="69"/>
        <v>21335.19058825828</v>
      </c>
      <c r="H152" s="37">
        <f t="shared" si="70"/>
        <v>35112.821250999994</v>
      </c>
      <c r="I152" s="37">
        <f t="shared" si="71"/>
        <v>56448.011839258274</v>
      </c>
      <c r="J152" s="124">
        <v>0.214</v>
      </c>
      <c r="K152" s="125">
        <f t="shared" si="68"/>
        <v>0.62203822786509277</v>
      </c>
    </row>
    <row r="153" spans="2:11" ht="16.5" x14ac:dyDescent="0.3">
      <c r="B153" s="10"/>
      <c r="C153" s="131">
        <f t="shared" si="66"/>
        <v>2025</v>
      </c>
      <c r="D153" s="133"/>
      <c r="E153" s="37">
        <f>'[1]Population Projections'!$C$21</f>
        <v>461159</v>
      </c>
      <c r="F153" s="67">
        <v>7.5026056225887755E-3</v>
      </c>
      <c r="G153" s="37">
        <f t="shared" si="69"/>
        <v>14244.55401155346</v>
      </c>
      <c r="H153" s="37">
        <f t="shared" si="70"/>
        <v>42626.964998713993</v>
      </c>
      <c r="I153" s="37">
        <f t="shared" si="71"/>
        <v>56871.519010267453</v>
      </c>
      <c r="J153" s="124">
        <v>0.214</v>
      </c>
      <c r="K153" s="125">
        <f t="shared" si="68"/>
        <v>0.74953097333338714</v>
      </c>
    </row>
    <row r="154" spans="2:11" ht="16.5" x14ac:dyDescent="0.3">
      <c r="B154" s="10"/>
      <c r="C154" s="39" t="s">
        <v>20</v>
      </c>
      <c r="D154" s="40"/>
      <c r="E154" s="40"/>
      <c r="F154" s="40"/>
      <c r="G154" s="40"/>
      <c r="H154" s="40"/>
      <c r="I154" s="40"/>
      <c r="J154" s="40"/>
      <c r="K154" s="40"/>
    </row>
    <row r="155" spans="2:11" ht="15.75" customHeight="1" x14ac:dyDescent="0.25">
      <c r="C155" s="35" t="s">
        <v>209</v>
      </c>
    </row>
    <row r="156" spans="2:11" ht="16.5" customHeight="1" x14ac:dyDescent="0.3">
      <c r="D156" s="10"/>
      <c r="E156" s="10"/>
      <c r="F156" s="10"/>
      <c r="G156" s="10"/>
      <c r="H156" s="10"/>
      <c r="I156" s="10"/>
      <c r="J156" s="40"/>
      <c r="K156" s="10"/>
    </row>
    <row r="157" spans="2:11" ht="30" customHeight="1" x14ac:dyDescent="0.3">
      <c r="B157" s="32" t="s">
        <v>189</v>
      </c>
      <c r="C157" s="10"/>
      <c r="D157" s="10"/>
      <c r="E157" s="10"/>
      <c r="F157" s="10"/>
      <c r="G157" s="10"/>
      <c r="H157" s="10"/>
      <c r="I157" s="10"/>
      <c r="J157" s="40"/>
      <c r="K157" s="10"/>
    </row>
    <row r="158" spans="2:11" ht="16.5" customHeight="1" x14ac:dyDescent="0.3">
      <c r="B158" s="10"/>
      <c r="C158" s="10"/>
    </row>
    <row r="159" spans="2:11" ht="27" customHeight="1" x14ac:dyDescent="0.3">
      <c r="B159" s="10"/>
      <c r="C159" s="127" t="s">
        <v>13</v>
      </c>
      <c r="D159" s="134"/>
      <c r="E159" s="136" t="s">
        <v>14</v>
      </c>
      <c r="F159" s="136" t="s">
        <v>15</v>
      </c>
      <c r="G159" s="136" t="s">
        <v>170</v>
      </c>
      <c r="H159" s="136" t="s">
        <v>17</v>
      </c>
      <c r="I159" s="136" t="s">
        <v>18</v>
      </c>
      <c r="J159" s="136" t="s">
        <v>210</v>
      </c>
      <c r="K159" s="136" t="s">
        <v>208</v>
      </c>
    </row>
    <row r="160" spans="2:11" ht="16.5" x14ac:dyDescent="0.3">
      <c r="B160" s="10"/>
      <c r="C160" s="129"/>
      <c r="D160" s="135"/>
      <c r="E160" s="137"/>
      <c r="F160" s="137"/>
      <c r="G160" s="137"/>
      <c r="H160" s="137"/>
      <c r="I160" s="137"/>
      <c r="J160" s="137"/>
      <c r="K160" s="137"/>
    </row>
    <row r="161" spans="2:11" ht="16.5" x14ac:dyDescent="0.3">
      <c r="B161" s="10"/>
      <c r="C161" s="131">
        <v>2019</v>
      </c>
      <c r="D161" s="133"/>
      <c r="E161" s="37">
        <f>'[1]Population Projections'!$C$15</f>
        <v>446539</v>
      </c>
      <c r="F161" s="67">
        <v>1.170199730425193E-3</v>
      </c>
      <c r="G161" s="37">
        <f>'Waste by Jurisdiction'!R21</f>
        <v>7661.3088174079467</v>
      </c>
      <c r="H161" s="37">
        <f>'Waste by Jurisdiction'!R35</f>
        <v>15544.18</v>
      </c>
      <c r="I161" s="37">
        <f>SUM(G161:H161)</f>
        <v>23205.488817407946</v>
      </c>
      <c r="J161" s="37"/>
      <c r="K161" s="126">
        <f>H161/I161</f>
        <v>0.66984928101748498</v>
      </c>
    </row>
    <row r="162" spans="2:11" ht="16.5" x14ac:dyDescent="0.3">
      <c r="B162" s="10"/>
      <c r="C162" s="131">
        <f t="shared" ref="C162:C167" si="72">C161+1</f>
        <v>2020</v>
      </c>
      <c r="D162" s="133"/>
      <c r="E162" s="37">
        <f>'[1]Population Projections'!$C$16</f>
        <v>448732</v>
      </c>
      <c r="F162" s="67">
        <v>6.7263933680515185E-4</v>
      </c>
      <c r="G162" s="308" t="s">
        <v>260</v>
      </c>
      <c r="H162" s="309"/>
      <c r="I162" s="309"/>
      <c r="J162" s="309"/>
      <c r="K162" s="310"/>
    </row>
    <row r="163" spans="2:11" ht="16.5" x14ac:dyDescent="0.3">
      <c r="B163" s="10"/>
      <c r="C163" s="131">
        <f t="shared" si="72"/>
        <v>2021</v>
      </c>
      <c r="D163" s="133"/>
      <c r="E163" s="37">
        <f>'[1]Population Projections'!$C$17</f>
        <v>451008</v>
      </c>
      <c r="F163" s="67">
        <v>6.4089660293204101E-3</v>
      </c>
      <c r="G163" s="37">
        <f>'Waste by Jurisdiction'!R59</f>
        <v>9523.4174847638733</v>
      </c>
      <c r="H163" s="37">
        <f>'Waste by Jurisdiction'!R73</f>
        <v>9772.0399999999991</v>
      </c>
      <c r="I163" s="37">
        <f t="shared" ref="I163" si="73">SUM(G163:H163)</f>
        <v>19295.457484763872</v>
      </c>
      <c r="J163" s="37"/>
      <c r="K163" s="126">
        <f>H163/I163</f>
        <v>0.5064425141366159</v>
      </c>
    </row>
    <row r="164" spans="2:11" ht="16.5" x14ac:dyDescent="0.3">
      <c r="B164" s="10"/>
      <c r="C164" s="131">
        <f t="shared" si="72"/>
        <v>2022</v>
      </c>
      <c r="D164" s="133"/>
      <c r="E164" s="37">
        <f>'[1]Population Projections'!$C$18</f>
        <v>453448</v>
      </c>
      <c r="F164" s="67">
        <v>6.6188076221360146E-3</v>
      </c>
      <c r="G164" s="37">
        <f>I164-H164</f>
        <v>8566.4339658366316</v>
      </c>
      <c r="H164" s="37">
        <f>H163*(1+J164)</f>
        <v>10856.736439999999</v>
      </c>
      <c r="I164" s="37">
        <f>I163*(1+F164)</f>
        <v>19423.17040583663</v>
      </c>
      <c r="J164" s="124">
        <v>0.111</v>
      </c>
      <c r="K164" s="126">
        <f t="shared" ref="K164:K167" si="74">H164/I164</f>
        <v>0.5589579977498198</v>
      </c>
    </row>
    <row r="165" spans="2:11" ht="16.5" x14ac:dyDescent="0.3">
      <c r="B165" s="10"/>
      <c r="C165" s="131">
        <f t="shared" si="72"/>
        <v>2023</v>
      </c>
      <c r="D165" s="133"/>
      <c r="E165" s="37">
        <f>'[1]Population Projections'!$C$19</f>
        <v>455863</v>
      </c>
      <c r="F165" s="67">
        <v>6.7609102680318608E-3</v>
      </c>
      <c r="G165" s="37">
        <f t="shared" ref="G165:G167" si="75">I165-H165</f>
        <v>7492.6545332311871</v>
      </c>
      <c r="H165" s="37">
        <f>H164*(1+J165)</f>
        <v>12061.834184839998</v>
      </c>
      <c r="I165" s="37">
        <f t="shared" ref="I165:I167" si="76">I164*(1+F165)</f>
        <v>19554.488718071185</v>
      </c>
      <c r="J165" s="124">
        <v>0.111</v>
      </c>
      <c r="K165" s="126">
        <f t="shared" si="74"/>
        <v>0.61683198976678499</v>
      </c>
    </row>
    <row r="166" spans="2:11" ht="16.5" x14ac:dyDescent="0.3">
      <c r="B166" s="10"/>
      <c r="C166" s="131">
        <f t="shared" si="72"/>
        <v>2024</v>
      </c>
      <c r="D166" s="133"/>
      <c r="E166" s="37">
        <f>'[1]Population Projections'!$C$20</f>
        <v>458496</v>
      </c>
      <c r="F166" s="67">
        <v>7.2426546640297637E-3</v>
      </c>
      <c r="G166" s="37">
        <f t="shared" si="75"/>
        <v>6295.4173476306059</v>
      </c>
      <c r="H166" s="37">
        <f>H165*(1+J166)</f>
        <v>13400.697779357237</v>
      </c>
      <c r="I166" s="37">
        <f t="shared" si="76"/>
        <v>19696.115126987843</v>
      </c>
      <c r="J166" s="124">
        <v>0.111</v>
      </c>
      <c r="K166" s="126">
        <f t="shared" si="74"/>
        <v>0.68037263658128433</v>
      </c>
    </row>
    <row r="167" spans="2:11" ht="16.5" x14ac:dyDescent="0.3">
      <c r="B167" s="10"/>
      <c r="C167" s="131">
        <f t="shared" si="72"/>
        <v>2025</v>
      </c>
      <c r="D167" s="133"/>
      <c r="E167" s="37">
        <f>'[1]Population Projections'!$C$21</f>
        <v>461159</v>
      </c>
      <c r="F167" s="67">
        <v>7.5026056225887755E-3</v>
      </c>
      <c r="G167" s="37">
        <f t="shared" si="75"/>
        <v>4955.7120782168513</v>
      </c>
      <c r="H167" s="37">
        <f t="shared" ref="H167" si="77">H166*(1+J167)</f>
        <v>14888.175232865889</v>
      </c>
      <c r="I167" s="37">
        <f t="shared" si="76"/>
        <v>19843.887311082741</v>
      </c>
      <c r="J167" s="124">
        <v>0.111</v>
      </c>
      <c r="K167" s="126">
        <f t="shared" si="74"/>
        <v>0.7502650564111446</v>
      </c>
    </row>
    <row r="168" spans="2:11" ht="16.5" x14ac:dyDescent="0.3">
      <c r="B168" s="10"/>
      <c r="C168" s="39" t="s">
        <v>20</v>
      </c>
      <c r="D168" s="40"/>
      <c r="E168" s="40"/>
      <c r="F168" s="40"/>
      <c r="G168" s="40"/>
      <c r="H168" s="40"/>
      <c r="I168" s="40"/>
      <c r="J168" s="40"/>
      <c r="K168" s="40"/>
    </row>
    <row r="169" spans="2:11" x14ac:dyDescent="0.25">
      <c r="C169" s="35" t="s">
        <v>209</v>
      </c>
    </row>
    <row r="170" spans="2:11" ht="30" customHeight="1" x14ac:dyDescent="0.3">
      <c r="B170" s="32" t="s">
        <v>203</v>
      </c>
      <c r="D170" s="10"/>
      <c r="E170" s="10"/>
      <c r="F170" s="10"/>
      <c r="G170" s="10"/>
      <c r="H170" s="10"/>
      <c r="I170" s="10"/>
      <c r="J170" s="40"/>
      <c r="K170" s="10"/>
    </row>
    <row r="171" spans="2:11" ht="16.5" customHeight="1" x14ac:dyDescent="0.3">
      <c r="B171" s="10"/>
      <c r="C171" s="10"/>
    </row>
    <row r="172" spans="2:11" ht="42.75" x14ac:dyDescent="0.3">
      <c r="B172" s="10"/>
      <c r="C172" s="127" t="s">
        <v>13</v>
      </c>
      <c r="D172" s="134"/>
      <c r="E172" s="136" t="s">
        <v>14</v>
      </c>
      <c r="F172" s="136" t="s">
        <v>15</v>
      </c>
      <c r="G172" s="136" t="s">
        <v>170</v>
      </c>
      <c r="H172" s="136" t="s">
        <v>17</v>
      </c>
      <c r="I172" s="136" t="s">
        <v>18</v>
      </c>
      <c r="J172" s="136" t="s">
        <v>210</v>
      </c>
      <c r="K172" s="136" t="s">
        <v>208</v>
      </c>
    </row>
    <row r="173" spans="2:11" ht="16.5" x14ac:dyDescent="0.3">
      <c r="B173" s="10"/>
      <c r="C173" s="129"/>
      <c r="D173" s="135"/>
      <c r="E173" s="137"/>
      <c r="F173" s="137"/>
      <c r="G173" s="137"/>
      <c r="H173" s="137"/>
      <c r="I173" s="137"/>
      <c r="J173" s="137"/>
      <c r="K173" s="137"/>
    </row>
    <row r="174" spans="2:11" ht="16.5" x14ac:dyDescent="0.3">
      <c r="B174" s="10"/>
      <c r="C174" s="131">
        <v>2019</v>
      </c>
      <c r="D174" s="133"/>
      <c r="E174" s="37">
        <f>'[1]Population Projections'!$C$15</f>
        <v>446539</v>
      </c>
      <c r="F174" s="67">
        <v>1.170199730425193E-3</v>
      </c>
      <c r="G174" s="37">
        <f>'Waste by Jurisdiction'!S21</f>
        <v>19571.822971500224</v>
      </c>
      <c r="H174" s="37">
        <f>'Waste by Jurisdiction'!S35</f>
        <v>25978</v>
      </c>
      <c r="I174" s="37">
        <f>SUM(G174:H174)</f>
        <v>45549.822971500224</v>
      </c>
      <c r="J174" s="119"/>
      <c r="K174" s="126">
        <f>H174/I174</f>
        <v>0.57032054803492893</v>
      </c>
    </row>
    <row r="175" spans="2:11" ht="16.5" x14ac:dyDescent="0.3">
      <c r="B175" s="10"/>
      <c r="C175" s="131">
        <f t="shared" ref="C175:C180" si="78">C174+1</f>
        <v>2020</v>
      </c>
      <c r="D175" s="133"/>
      <c r="E175" s="37">
        <f>'[1]Population Projections'!$C$16</f>
        <v>448732</v>
      </c>
      <c r="F175" s="67">
        <v>6.7263933680515185E-4</v>
      </c>
      <c r="G175" s="308" t="s">
        <v>260</v>
      </c>
      <c r="H175" s="309"/>
      <c r="I175" s="309"/>
      <c r="J175" s="309"/>
      <c r="K175" s="310"/>
    </row>
    <row r="176" spans="2:11" ht="16.5" x14ac:dyDescent="0.3">
      <c r="B176" s="10"/>
      <c r="C176" s="131">
        <f t="shared" si="78"/>
        <v>2021</v>
      </c>
      <c r="D176" s="133"/>
      <c r="E176" s="37">
        <f>'[1]Population Projections'!$C$17</f>
        <v>451008</v>
      </c>
      <c r="F176" s="67">
        <v>6.4089660293204101E-3</v>
      </c>
      <c r="G176" s="37">
        <f>'Waste by Jurisdiction'!S59</f>
        <v>18860.392192277868</v>
      </c>
      <c r="H176" s="37">
        <f>'Waste by Jurisdiction'!S73</f>
        <v>24151</v>
      </c>
      <c r="I176" s="37">
        <f t="shared" ref="I176" si="79">SUM(G176:H176)</f>
        <v>43011.392192277868</v>
      </c>
      <c r="J176" s="119"/>
      <c r="K176" s="126">
        <f>H176/I176</f>
        <v>0.56150240131813256</v>
      </c>
    </row>
    <row r="177" spans="2:11" ht="16.5" x14ac:dyDescent="0.3">
      <c r="B177" s="10"/>
      <c r="C177" s="131">
        <f t="shared" si="78"/>
        <v>2022</v>
      </c>
      <c r="D177" s="133"/>
      <c r="E177" s="37">
        <f>'[1]Population Projections'!$C$18</f>
        <v>453448</v>
      </c>
      <c r="F177" s="67">
        <v>6.6188076221360146E-3</v>
      </c>
      <c r="G177" s="37">
        <f>I177-H177</f>
        <v>17140.543322758804</v>
      </c>
      <c r="H177" s="37">
        <f>H176*(1+J177)</f>
        <v>26155.532999999999</v>
      </c>
      <c r="I177" s="37">
        <f>I176*(1+F177)</f>
        <v>43296.076322758803</v>
      </c>
      <c r="J177" s="124">
        <v>8.3000000000000004E-2</v>
      </c>
      <c r="K177" s="126">
        <f t="shared" ref="K177:K180" si="80">H177/I177</f>
        <v>0.60410862187646341</v>
      </c>
    </row>
    <row r="178" spans="2:11" ht="16.5" x14ac:dyDescent="0.3">
      <c r="B178" s="10"/>
      <c r="C178" s="131">
        <f t="shared" si="78"/>
        <v>2023</v>
      </c>
      <c r="D178" s="133"/>
      <c r="E178" s="37">
        <f>'[1]Population Projections'!$C$19</f>
        <v>455863</v>
      </c>
      <c r="F178" s="67">
        <v>6.7609102680318608E-3</v>
      </c>
      <c r="G178" s="37">
        <f t="shared" ref="G178:G180" si="81">I178-H178</f>
        <v>15262.354970734839</v>
      </c>
      <c r="H178" s="37">
        <f t="shared" ref="H178:H180" si="82">H177*(1+J178)</f>
        <v>28326.442239</v>
      </c>
      <c r="I178" s="37">
        <f t="shared" ref="I178:I180" si="83">I177*(1+F178)</f>
        <v>43588.797209734839</v>
      </c>
      <c r="J178" s="124">
        <v>8.3000000000000004E-2</v>
      </c>
      <c r="K178" s="126">
        <f t="shared" si="80"/>
        <v>0.64985601925886027</v>
      </c>
    </row>
    <row r="179" spans="2:11" ht="16.5" x14ac:dyDescent="0.3">
      <c r="B179" s="10"/>
      <c r="C179" s="131">
        <f t="shared" si="78"/>
        <v>2024</v>
      </c>
      <c r="D179" s="133"/>
      <c r="E179" s="37">
        <f>'[1]Population Projections'!$C$20</f>
        <v>458496</v>
      </c>
      <c r="F179" s="67">
        <v>7.2426546640297637E-3</v>
      </c>
      <c r="G179" s="37">
        <f t="shared" si="81"/>
        <v>13226.958870308375</v>
      </c>
      <c r="H179" s="37">
        <f>H178*(1+J179)</f>
        <v>30677.536944837</v>
      </c>
      <c r="I179" s="37">
        <f t="shared" si="83"/>
        <v>43904.495815145376</v>
      </c>
      <c r="J179" s="124">
        <v>8.3000000000000004E-2</v>
      </c>
      <c r="K179" s="126">
        <f t="shared" si="80"/>
        <v>0.6987333842529726</v>
      </c>
    </row>
    <row r="180" spans="2:11" ht="16.5" x14ac:dyDescent="0.3">
      <c r="B180" s="10"/>
      <c r="C180" s="131">
        <f t="shared" si="78"/>
        <v>2025</v>
      </c>
      <c r="D180" s="133"/>
      <c r="E180" s="37">
        <f>'[1]Population Projections'!$C$21</f>
        <v>461159</v>
      </c>
      <c r="F180" s="67">
        <v>7.5026056225887755E-3</v>
      </c>
      <c r="G180" s="37">
        <f t="shared" si="81"/>
        <v>11010.121421046548</v>
      </c>
      <c r="H180" s="37">
        <f t="shared" si="82"/>
        <v>33223.772511258467</v>
      </c>
      <c r="I180" s="37">
        <f t="shared" si="83"/>
        <v>44233.893932305014</v>
      </c>
      <c r="J180" s="124">
        <v>8.3000000000000004E-2</v>
      </c>
      <c r="K180" s="126">
        <f t="shared" si="80"/>
        <v>0.75109309983208128</v>
      </c>
    </row>
    <row r="181" spans="2:11" x14ac:dyDescent="0.25">
      <c r="C181" s="39" t="s">
        <v>20</v>
      </c>
    </row>
    <row r="182" spans="2:11" x14ac:dyDescent="0.25">
      <c r="C182" s="35" t="s">
        <v>209</v>
      </c>
    </row>
  </sheetData>
  <mergeCells count="189">
    <mergeCell ref="E132:E133"/>
    <mergeCell ref="F132:F133"/>
    <mergeCell ref="G132:G133"/>
    <mergeCell ref="H132:H133"/>
    <mergeCell ref="K104:K105"/>
    <mergeCell ref="E104:E105"/>
    <mergeCell ref="F104:F105"/>
    <mergeCell ref="G104:G105"/>
    <mergeCell ref="H104:H105"/>
    <mergeCell ref="I104:I105"/>
    <mergeCell ref="J104:J105"/>
    <mergeCell ref="H118:H119"/>
    <mergeCell ref="I118:I119"/>
    <mergeCell ref="K118:K119"/>
    <mergeCell ref="E118:E119"/>
    <mergeCell ref="F118:F119"/>
    <mergeCell ref="G118:G119"/>
    <mergeCell ref="J118:J119"/>
    <mergeCell ref="J132:J133"/>
    <mergeCell ref="C94:D94"/>
    <mergeCell ref="C95:D95"/>
    <mergeCell ref="C96:D96"/>
    <mergeCell ref="C97:D97"/>
    <mergeCell ref="C98:D98"/>
    <mergeCell ref="F90:F91"/>
    <mergeCell ref="G90:G91"/>
    <mergeCell ref="H90:H91"/>
    <mergeCell ref="T36:X36"/>
    <mergeCell ref="C92:D92"/>
    <mergeCell ref="C81:D81"/>
    <mergeCell ref="C82:D82"/>
    <mergeCell ref="C83:D83"/>
    <mergeCell ref="C84:D84"/>
    <mergeCell ref="C90:D91"/>
    <mergeCell ref="E90:E91"/>
    <mergeCell ref="J90:J91"/>
    <mergeCell ref="C93:D93"/>
    <mergeCell ref="C78:D78"/>
    <mergeCell ref="C79:D79"/>
    <mergeCell ref="C80:D80"/>
    <mergeCell ref="C76:D77"/>
    <mergeCell ref="E76:E77"/>
    <mergeCell ref="F76:F77"/>
    <mergeCell ref="G76:G77"/>
    <mergeCell ref="J76:J77"/>
    <mergeCell ref="I90:I91"/>
    <mergeCell ref="C65:D65"/>
    <mergeCell ref="C66:D66"/>
    <mergeCell ref="C67:D67"/>
    <mergeCell ref="I62:I63"/>
    <mergeCell ref="C68:D68"/>
    <mergeCell ref="C69:D69"/>
    <mergeCell ref="C70:D70"/>
    <mergeCell ref="F62:F63"/>
    <mergeCell ref="G62:G63"/>
    <mergeCell ref="H62:H63"/>
    <mergeCell ref="C64:D64"/>
    <mergeCell ref="C62:D63"/>
    <mergeCell ref="E62:E63"/>
    <mergeCell ref="C55:D55"/>
    <mergeCell ref="C56:D56"/>
    <mergeCell ref="K48:K49"/>
    <mergeCell ref="C50:D50"/>
    <mergeCell ref="C51:D51"/>
    <mergeCell ref="C52:D52"/>
    <mergeCell ref="C53:D53"/>
    <mergeCell ref="C54:D54"/>
    <mergeCell ref="J62:J63"/>
    <mergeCell ref="J48:J49"/>
    <mergeCell ref="C48:D49"/>
    <mergeCell ref="E48:E49"/>
    <mergeCell ref="F48:F49"/>
    <mergeCell ref="G48:G49"/>
    <mergeCell ref="H48:H49"/>
    <mergeCell ref="I48:I49"/>
    <mergeCell ref="C41:D41"/>
    <mergeCell ref="W33:W34"/>
    <mergeCell ref="P33:Q34"/>
    <mergeCell ref="R33:R34"/>
    <mergeCell ref="S33:S34"/>
    <mergeCell ref="T33:T34"/>
    <mergeCell ref="U33:U34"/>
    <mergeCell ref="P40:Q40"/>
    <mergeCell ref="C42:D42"/>
    <mergeCell ref="P41:Q41"/>
    <mergeCell ref="C38:D38"/>
    <mergeCell ref="J34:J35"/>
    <mergeCell ref="C26:D26"/>
    <mergeCell ref="P26:Q26"/>
    <mergeCell ref="P23:Q23"/>
    <mergeCell ref="C39:D39"/>
    <mergeCell ref="P38:Q38"/>
    <mergeCell ref="C40:D40"/>
    <mergeCell ref="P39:Q39"/>
    <mergeCell ref="V33:V34"/>
    <mergeCell ref="X33:X34"/>
    <mergeCell ref="C36:D36"/>
    <mergeCell ref="P35:Q35"/>
    <mergeCell ref="C37:D37"/>
    <mergeCell ref="P36:Q36"/>
    <mergeCell ref="K34:K35"/>
    <mergeCell ref="C27:D27"/>
    <mergeCell ref="C28:D28"/>
    <mergeCell ref="P27:Q27"/>
    <mergeCell ref="C34:D35"/>
    <mergeCell ref="E34:E35"/>
    <mergeCell ref="F34:F35"/>
    <mergeCell ref="G34:G35"/>
    <mergeCell ref="H34:H35"/>
    <mergeCell ref="I34:I35"/>
    <mergeCell ref="P37:Q37"/>
    <mergeCell ref="C11:D11"/>
    <mergeCell ref="P24:Q24"/>
    <mergeCell ref="C12:D12"/>
    <mergeCell ref="P25:Q25"/>
    <mergeCell ref="V19:V20"/>
    <mergeCell ref="X19:X20"/>
    <mergeCell ref="C8:D8"/>
    <mergeCell ref="P21:Q21"/>
    <mergeCell ref="C9:D9"/>
    <mergeCell ref="P22:Q22"/>
    <mergeCell ref="C13:D13"/>
    <mergeCell ref="C14:D14"/>
    <mergeCell ref="W19:W20"/>
    <mergeCell ref="I20:I21"/>
    <mergeCell ref="J20:J21"/>
    <mergeCell ref="K20:K21"/>
    <mergeCell ref="C22:D22"/>
    <mergeCell ref="C23:D23"/>
    <mergeCell ref="C24:D24"/>
    <mergeCell ref="C25:D25"/>
    <mergeCell ref="T22:X22"/>
    <mergeCell ref="G23:K23"/>
    <mergeCell ref="K6:K7"/>
    <mergeCell ref="P19:Q20"/>
    <mergeCell ref="R19:R20"/>
    <mergeCell ref="S19:S20"/>
    <mergeCell ref="T19:T20"/>
    <mergeCell ref="U19:U20"/>
    <mergeCell ref="P12:Q12"/>
    <mergeCell ref="P13:Q13"/>
    <mergeCell ref="C6:D7"/>
    <mergeCell ref="E6:E7"/>
    <mergeCell ref="F6:F7"/>
    <mergeCell ref="G6:G7"/>
    <mergeCell ref="H6:H7"/>
    <mergeCell ref="I6:I7"/>
    <mergeCell ref="P9:Q9"/>
    <mergeCell ref="P10:Q10"/>
    <mergeCell ref="P11:Q11"/>
    <mergeCell ref="C10:D10"/>
    <mergeCell ref="J6:J7"/>
    <mergeCell ref="C20:D21"/>
    <mergeCell ref="E20:E21"/>
    <mergeCell ref="F20:F21"/>
    <mergeCell ref="G20:G21"/>
    <mergeCell ref="H20:H21"/>
    <mergeCell ref="V5:V6"/>
    <mergeCell ref="X5:X6"/>
    <mergeCell ref="P7:Q7"/>
    <mergeCell ref="P8:Q8"/>
    <mergeCell ref="P5:Q6"/>
    <mergeCell ref="R5:R6"/>
    <mergeCell ref="S5:S6"/>
    <mergeCell ref="T5:T6"/>
    <mergeCell ref="U5:U6"/>
    <mergeCell ref="W5:W6"/>
    <mergeCell ref="G162:K162"/>
    <mergeCell ref="G175:K175"/>
    <mergeCell ref="T8:X8"/>
    <mergeCell ref="Y38:Y41"/>
    <mergeCell ref="G37:K37"/>
    <mergeCell ref="G51:K51"/>
    <mergeCell ref="G65:K65"/>
    <mergeCell ref="G79:K79"/>
    <mergeCell ref="G93:K93"/>
    <mergeCell ref="G107:K107"/>
    <mergeCell ref="G121:K121"/>
    <mergeCell ref="G135:K135"/>
    <mergeCell ref="G148:K148"/>
    <mergeCell ref="K62:K63"/>
    <mergeCell ref="H76:H77"/>
    <mergeCell ref="I76:I77"/>
    <mergeCell ref="K76:K77"/>
    <mergeCell ref="K90:K91"/>
    <mergeCell ref="I145:I146"/>
    <mergeCell ref="J145:J146"/>
    <mergeCell ref="I132:I133"/>
    <mergeCell ref="K132:K1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E36"/>
  <sheetViews>
    <sheetView tabSelected="1" workbookViewId="0">
      <selection activeCell="I15" sqref="I15"/>
    </sheetView>
  </sheetViews>
  <sheetFormatPr defaultRowHeight="15" x14ac:dyDescent="0.25"/>
  <cols>
    <col min="7" max="7" width="15.85546875" customWidth="1"/>
    <col min="8" max="8" width="15" customWidth="1"/>
    <col min="9" max="9" width="14.5703125" customWidth="1"/>
    <col min="10" max="10" width="12.140625" customWidth="1"/>
    <col min="11" max="11" width="13.5703125" customWidth="1"/>
    <col min="12" max="18" width="14.28515625" customWidth="1"/>
    <col min="19" max="19" width="13" customWidth="1"/>
  </cols>
  <sheetData>
    <row r="3" spans="1:31" ht="16.5" x14ac:dyDescent="0.3">
      <c r="A3" s="32" t="s">
        <v>183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68"/>
      <c r="U3" s="217"/>
    </row>
    <row r="4" spans="1:31" ht="16.5" x14ac:dyDescent="0.3">
      <c r="A4" s="3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16"/>
      <c r="T4" s="68"/>
    </row>
    <row r="5" spans="1:31" ht="16.5" x14ac:dyDescent="0.3">
      <c r="A5" s="10"/>
      <c r="B5" s="325" t="s">
        <v>184</v>
      </c>
      <c r="C5" s="326"/>
      <c r="D5" s="326"/>
      <c r="E5" s="326"/>
      <c r="F5" s="81"/>
      <c r="G5" s="83" t="s">
        <v>1</v>
      </c>
      <c r="H5" s="83"/>
      <c r="I5" s="83"/>
      <c r="J5" s="83"/>
      <c r="K5" s="83"/>
      <c r="L5" s="83"/>
      <c r="M5" s="83"/>
      <c r="N5" s="83"/>
      <c r="O5" s="83"/>
      <c r="P5" s="83"/>
      <c r="Q5" s="213"/>
      <c r="R5" s="214"/>
      <c r="S5" s="215"/>
      <c r="T5" s="323" t="s">
        <v>5</v>
      </c>
    </row>
    <row r="6" spans="1:31" ht="35.450000000000003" customHeight="1" x14ac:dyDescent="0.3">
      <c r="A6" s="10"/>
      <c r="B6" s="327"/>
      <c r="C6" s="328"/>
      <c r="D6" s="328"/>
      <c r="E6" s="328"/>
      <c r="F6" s="82"/>
      <c r="G6" s="23" t="s">
        <v>23</v>
      </c>
      <c r="H6" s="23" t="s">
        <v>214</v>
      </c>
      <c r="I6" s="23" t="s">
        <v>25</v>
      </c>
      <c r="J6" s="23" t="s">
        <v>204</v>
      </c>
      <c r="K6" s="23" t="s">
        <v>28</v>
      </c>
      <c r="L6" s="23" t="s">
        <v>24</v>
      </c>
      <c r="M6" s="23" t="s">
        <v>30</v>
      </c>
      <c r="N6" s="23" t="s">
        <v>31</v>
      </c>
      <c r="O6" s="23" t="s">
        <v>32</v>
      </c>
      <c r="P6" s="23" t="s">
        <v>33</v>
      </c>
      <c r="Q6" s="23" t="s">
        <v>35</v>
      </c>
      <c r="R6" s="23" t="s">
        <v>185</v>
      </c>
      <c r="S6" s="23" t="s">
        <v>200</v>
      </c>
      <c r="T6" s="324"/>
      <c r="U6" s="10"/>
    </row>
    <row r="7" spans="1:31" ht="16.5" x14ac:dyDescent="0.3">
      <c r="A7" s="10"/>
      <c r="B7" s="69" t="s">
        <v>187</v>
      </c>
      <c r="C7" s="70"/>
      <c r="D7" s="70"/>
      <c r="E7" s="70"/>
      <c r="F7" s="71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9"/>
      <c r="U7" s="10"/>
    </row>
    <row r="8" spans="1:31" ht="16.5" x14ac:dyDescent="0.3">
      <c r="A8" s="10"/>
      <c r="B8" s="74"/>
      <c r="C8" s="70" t="s">
        <v>186</v>
      </c>
      <c r="D8" s="70"/>
      <c r="E8" s="70"/>
      <c r="F8" s="71"/>
      <c r="G8" s="8">
        <f>'Waste by Jurisdiction'!G66</f>
        <v>7470.7999999999993</v>
      </c>
      <c r="H8" s="116"/>
      <c r="I8" s="116">
        <f>'Waste by Jurisdiction'!I66</f>
        <v>11783.68</v>
      </c>
      <c r="J8" s="116">
        <f>'Waste by Jurisdiction'!J66</f>
        <v>4433.38</v>
      </c>
      <c r="K8" s="116">
        <f>'Waste by Jurisdiction'!K66</f>
        <v>7985.36</v>
      </c>
      <c r="L8" s="116"/>
      <c r="M8" s="8">
        <f>'Waste by Jurisdiction'!M66</f>
        <v>7683</v>
      </c>
      <c r="N8" s="8">
        <f>'Waste by Jurisdiction'!N66</f>
        <v>14773</v>
      </c>
      <c r="O8" s="8">
        <f>'Waste by Jurisdiction'!O66</f>
        <v>290690</v>
      </c>
      <c r="P8" s="8">
        <f>'Waste by Jurisdiction'!P66</f>
        <v>14611.36</v>
      </c>
      <c r="Q8" s="8">
        <f>'Waste by Jurisdiction'!Q66</f>
        <v>17636</v>
      </c>
      <c r="R8" s="8">
        <f>'Waste by Jurisdiction'!R66</f>
        <v>9463.5499999999993</v>
      </c>
      <c r="S8" s="8">
        <f>'Waste by Jurisdiction'!S66</f>
        <v>22306</v>
      </c>
      <c r="T8" s="8">
        <f>SUM(G8:S8)</f>
        <v>408836.12999999995</v>
      </c>
      <c r="U8" s="10"/>
    </row>
    <row r="9" spans="1:31" ht="16.5" x14ac:dyDescent="0.3">
      <c r="A9" s="10"/>
      <c r="B9" s="74"/>
      <c r="C9" s="70" t="s">
        <v>2</v>
      </c>
      <c r="D9" s="70"/>
      <c r="E9" s="70"/>
      <c r="F9" s="71"/>
      <c r="G9" s="8">
        <f>'Waste by Jurisdiction'!G72</f>
        <v>5150.41</v>
      </c>
      <c r="H9" s="116"/>
      <c r="I9" s="116">
        <f>'Waste by Jurisdiction'!I72</f>
        <v>122.23</v>
      </c>
      <c r="J9" s="116"/>
      <c r="K9" s="116">
        <f>'Waste by Jurisdiction'!K72</f>
        <v>1622.87</v>
      </c>
      <c r="L9" s="116"/>
      <c r="M9" s="8">
        <f>'Waste by Jurisdiction'!M72</f>
        <v>2558</v>
      </c>
      <c r="N9" s="8">
        <f>'Waste by Jurisdiction'!N72</f>
        <v>9562</v>
      </c>
      <c r="O9" s="8">
        <f>'Waste by Jurisdiction'!O72</f>
        <v>26137</v>
      </c>
      <c r="P9" s="8">
        <f>'Waste by Jurisdiction'!P72</f>
        <v>7556.81</v>
      </c>
      <c r="Q9" s="8">
        <f>'Waste by Jurisdiction'!Q72</f>
        <v>1989</v>
      </c>
      <c r="R9" s="8">
        <f>'Waste by Jurisdiction'!R72</f>
        <v>308.49</v>
      </c>
      <c r="S9" s="8">
        <f>'Waste by Jurisdiction'!S72</f>
        <v>1845</v>
      </c>
      <c r="T9" s="8">
        <f>SUM(G9:S9)</f>
        <v>56851.80999999999</v>
      </c>
      <c r="U9" s="10"/>
    </row>
    <row r="10" spans="1:31" ht="16.5" x14ac:dyDescent="0.3">
      <c r="A10" s="10"/>
      <c r="B10" s="74"/>
      <c r="C10" s="70"/>
      <c r="D10" s="75" t="s">
        <v>207</v>
      </c>
      <c r="E10" s="70"/>
      <c r="F10" s="71"/>
      <c r="G10" s="11">
        <f>SUM(G8:G9)</f>
        <v>12621.21</v>
      </c>
      <c r="H10" s="11">
        <f>'Waste by Jurisdiction'!H73</f>
        <v>8080</v>
      </c>
      <c r="I10" s="11">
        <f t="shared" ref="I10:M10" si="0">SUM(I8:I9)</f>
        <v>11905.91</v>
      </c>
      <c r="J10" s="11">
        <f>SUM(J8:J9)</f>
        <v>4433.38</v>
      </c>
      <c r="K10" s="11">
        <f>SUM(K8:K9)</f>
        <v>9608.23</v>
      </c>
      <c r="L10" s="11">
        <f>'Waste by Jurisdiction'!L73</f>
        <v>5687.61</v>
      </c>
      <c r="M10" s="11">
        <f t="shared" si="0"/>
        <v>10241</v>
      </c>
      <c r="N10" s="11">
        <f>SUM(N8:N9)</f>
        <v>24335</v>
      </c>
      <c r="O10" s="11">
        <f>SUM(O8:O9)</f>
        <v>316827</v>
      </c>
      <c r="P10" s="11">
        <f t="shared" ref="P10:S10" si="1">SUM(P8:P9)</f>
        <v>22168.170000000002</v>
      </c>
      <c r="Q10" s="11">
        <f t="shared" si="1"/>
        <v>19625</v>
      </c>
      <c r="R10" s="11">
        <f t="shared" si="1"/>
        <v>9772.0399999999991</v>
      </c>
      <c r="S10" s="11">
        <f t="shared" si="1"/>
        <v>24151</v>
      </c>
      <c r="T10" s="11">
        <f>SUM(G10:S10)</f>
        <v>479455.54999999993</v>
      </c>
      <c r="U10" s="10"/>
      <c r="AE10" s="10"/>
    </row>
    <row r="11" spans="1:31" ht="17.25" customHeight="1" x14ac:dyDescent="0.3">
      <c r="A11" s="10"/>
      <c r="B11" s="332" t="s">
        <v>205</v>
      </c>
      <c r="C11" s="333"/>
      <c r="D11" s="333"/>
      <c r="E11" s="333"/>
      <c r="F11" s="334"/>
      <c r="T11" s="5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6.5" x14ac:dyDescent="0.3">
      <c r="A12" s="10"/>
      <c r="B12" s="76"/>
      <c r="C12" s="70" t="s">
        <v>186</v>
      </c>
      <c r="D12" s="70"/>
      <c r="E12" s="70"/>
      <c r="F12" s="71"/>
      <c r="G12" s="116">
        <f>'Waste by Jurisdiction'!G50</f>
        <v>3829.2035382067461</v>
      </c>
      <c r="H12" s="116">
        <f>'Waste by Jurisdiction'!H50</f>
        <v>4980.4184385234257</v>
      </c>
      <c r="I12" s="116">
        <f>'Waste by Jurisdiction'!I50</f>
        <v>1770.7415003318233</v>
      </c>
      <c r="J12" s="116"/>
      <c r="K12" s="116">
        <f>'Waste by Jurisdiction'!K50</f>
        <v>3983.3906690140479</v>
      </c>
      <c r="L12" s="116">
        <f>'Waste by Jurisdiction'!L50</f>
        <v>4386.4981228666929</v>
      </c>
      <c r="M12" s="116">
        <f>'Waste by Jurisdiction'!M50</f>
        <v>8903.3878720371758</v>
      </c>
      <c r="N12" s="116">
        <f>'Waste by Jurisdiction'!N50</f>
        <v>2852.7521090143891</v>
      </c>
      <c r="O12" s="116"/>
      <c r="P12" s="116">
        <f>'Waste by Jurisdiction'!P50</f>
        <v>4681.7945299736748</v>
      </c>
      <c r="Q12" s="116">
        <f>'Waste by Jurisdiction'!Q50</f>
        <v>8287.800105125214</v>
      </c>
      <c r="R12" s="116">
        <f>'Waste by Jurisdiction'!R50</f>
        <v>7052.5077555627986</v>
      </c>
      <c r="S12" s="116">
        <f>'Waste by Jurisdiction'!S50</f>
        <v>9043.8393864237532</v>
      </c>
      <c r="T12" s="116">
        <f>SUM(G12:S12)</f>
        <v>59772.334027079742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6.5" x14ac:dyDescent="0.3">
      <c r="A13" s="10"/>
      <c r="B13" s="76"/>
      <c r="C13" s="70" t="s">
        <v>2</v>
      </c>
      <c r="D13" s="70"/>
      <c r="E13" s="70"/>
      <c r="F13" s="71"/>
      <c r="G13" s="116">
        <f>'Waste by Jurisdiction'!G58</f>
        <v>2499.1241526455028</v>
      </c>
      <c r="H13" s="116">
        <f>'Waste by Jurisdiction'!H58</f>
        <v>6108.7130178484958</v>
      </c>
      <c r="I13" s="116">
        <f>'Waste by Jurisdiction'!I58</f>
        <v>1324.3956254297075</v>
      </c>
      <c r="J13" s="116"/>
      <c r="K13" s="116">
        <f>'Waste by Jurisdiction'!K58</f>
        <v>12543.561372554701</v>
      </c>
      <c r="L13" s="116">
        <f>'Waste by Jurisdiction'!L58</f>
        <v>4027.2161308692957</v>
      </c>
      <c r="M13" s="116">
        <f>'Waste by Jurisdiction'!M58</f>
        <v>14140.942646125975</v>
      </c>
      <c r="N13" s="116">
        <f>'Waste by Jurisdiction'!N58</f>
        <v>6763.6907049512838</v>
      </c>
      <c r="O13" s="116"/>
      <c r="P13" s="116">
        <f>'Waste by Jurisdiction'!P58</f>
        <v>19416.70679073206</v>
      </c>
      <c r="Q13" s="116">
        <f>'Waste by Jurisdiction'!Q58</f>
        <v>27386.948374281001</v>
      </c>
      <c r="R13" s="116">
        <f>'Waste by Jurisdiction'!R58</f>
        <v>2470.9097292010747</v>
      </c>
      <c r="S13" s="116">
        <f>'Waste by Jurisdiction'!S58</f>
        <v>9816.5528058541131</v>
      </c>
      <c r="T13" s="116">
        <f>SUM(G13:S13)</f>
        <v>106498.76135049319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6.5" x14ac:dyDescent="0.3">
      <c r="A14" s="10"/>
      <c r="B14" s="76"/>
      <c r="C14" s="70"/>
      <c r="D14" s="75" t="s">
        <v>207</v>
      </c>
      <c r="E14" s="70"/>
      <c r="F14" s="71"/>
      <c r="G14" s="114">
        <f>'Waste by Jurisdiction'!G59</f>
        <v>6328.3276908522494</v>
      </c>
      <c r="H14" s="114">
        <f>'Waste by Jurisdiction'!H59</f>
        <v>11089.131456371921</v>
      </c>
      <c r="I14" s="114">
        <f>'Waste by Jurisdiction'!I59</f>
        <v>3095.137125761531</v>
      </c>
      <c r="J14" s="114">
        <f>'Waste by Jurisdiction'!J59</f>
        <v>676.00200000000007</v>
      </c>
      <c r="K14" s="114">
        <f>'Waste by Jurisdiction'!K59</f>
        <v>16526.952041568748</v>
      </c>
      <c r="L14" s="114">
        <f>'Waste by Jurisdiction'!L59</f>
        <v>8413.7142537359887</v>
      </c>
      <c r="M14" s="114">
        <f>'Waste by Jurisdiction'!M59</f>
        <v>23044.330518163151</v>
      </c>
      <c r="N14" s="114">
        <f>'Waste by Jurisdiction'!N59</f>
        <v>9616.4428139656738</v>
      </c>
      <c r="O14" s="114">
        <f>'Waste by Jurisdiction'!O59</f>
        <v>75442.92</v>
      </c>
      <c r="P14" s="114">
        <f>'Waste by Jurisdiction'!P59</f>
        <v>24098.501320705735</v>
      </c>
      <c r="Q14" s="114">
        <f>'Waste by Jurisdiction'!Q59</f>
        <v>35674.748479406218</v>
      </c>
      <c r="R14" s="114">
        <f>'Waste by Jurisdiction'!R59</f>
        <v>9523.4174847638733</v>
      </c>
      <c r="S14" s="114">
        <f>'Waste by Jurisdiction'!S59</f>
        <v>18860.392192277868</v>
      </c>
      <c r="T14" s="114">
        <f>SUM(G14:S14)</f>
        <v>242390.01737757295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6.5" x14ac:dyDescent="0.3">
      <c r="B15" s="76"/>
      <c r="C15" s="70"/>
      <c r="D15" s="121" t="s">
        <v>211</v>
      </c>
      <c r="E15" s="122"/>
      <c r="F15" s="98"/>
      <c r="G15" s="123">
        <f>'Waste by Jurisdiction'!G74</f>
        <v>18949.537690852248</v>
      </c>
      <c r="H15" s="123">
        <f>'Waste by Jurisdiction'!H74</f>
        <v>19169.131456371921</v>
      </c>
      <c r="I15" s="123">
        <f>'Waste by Jurisdiction'!I74</f>
        <v>15001.047125761532</v>
      </c>
      <c r="J15" s="123">
        <f>'Waste by Jurisdiction'!J74</f>
        <v>5109.3820000000005</v>
      </c>
      <c r="K15" s="123">
        <f>'Waste by Jurisdiction'!K74</f>
        <v>26135.182041568747</v>
      </c>
      <c r="L15" s="123">
        <f>'Waste by Jurisdiction'!L74</f>
        <v>14101.324253735987</v>
      </c>
      <c r="M15" s="123">
        <f>'Waste by Jurisdiction'!M74</f>
        <v>33285.330518163151</v>
      </c>
      <c r="N15" s="123">
        <f>'Waste by Jurisdiction'!N74</f>
        <v>33951.442813965674</v>
      </c>
      <c r="O15" s="123">
        <f>'Waste by Jurisdiction'!O74</f>
        <v>392269.92</v>
      </c>
      <c r="P15" s="123">
        <f>'Waste by Jurisdiction'!P74</f>
        <v>46266.671320705733</v>
      </c>
      <c r="Q15" s="123">
        <f>'Waste by Jurisdiction'!Q74</f>
        <v>55299.748479406218</v>
      </c>
      <c r="R15" s="123">
        <f>'Waste by Jurisdiction'!R74</f>
        <v>19295.457484763872</v>
      </c>
      <c r="S15" s="123">
        <f>'Waste by Jurisdiction'!S74</f>
        <v>43011.392192277868</v>
      </c>
      <c r="T15" s="123">
        <f>SUM(G15:S15)</f>
        <v>721845.56737757288</v>
      </c>
      <c r="Z15" s="10"/>
      <c r="AA15" s="10"/>
    </row>
    <row r="16" spans="1:31" ht="16.5" x14ac:dyDescent="0.3">
      <c r="A16" s="10"/>
      <c r="B16" s="247" t="s">
        <v>262</v>
      </c>
      <c r="C16" s="248"/>
      <c r="D16" s="248"/>
      <c r="E16" s="248"/>
      <c r="F16" s="249"/>
      <c r="G16" s="250">
        <f>'Org Projections by City'!I14</f>
        <v>19488.135527821032</v>
      </c>
      <c r="H16" s="250">
        <f>'Org Projections by City'!I28</f>
        <v>19713.970750470173</v>
      </c>
      <c r="I16" s="250">
        <f>'Org Projections by City'!I42</f>
        <v>15427.418030741566</v>
      </c>
      <c r="J16" s="250">
        <f>'Org Projections by City'!I56</f>
        <v>5254.6046507233314</v>
      </c>
      <c r="K16" s="250">
        <f>'Org Projections by City'!I70</f>
        <v>26878.015600150473</v>
      </c>
      <c r="L16" s="250">
        <f>'Org Projections by City'!I84</f>
        <v>14502.122566885548</v>
      </c>
      <c r="M16" s="250">
        <f>'Org Projections by City'!I98</f>
        <v>34231.390908255307</v>
      </c>
      <c r="N16" s="250">
        <f>'Org Projections by City'!I112</f>
        <v>34916.435942552584</v>
      </c>
      <c r="O16" s="250">
        <f>'Org Projections by City'!I126</f>
        <v>403419.30706509494</v>
      </c>
      <c r="P16" s="250">
        <f>'Org Projections by City'!I140</f>
        <v>47581.697022314649</v>
      </c>
      <c r="Q16" s="250">
        <f>'Org Projections by City'!I153</f>
        <v>56871.519010267453</v>
      </c>
      <c r="R16" s="250">
        <f>'Org Projections by City'!I167</f>
        <v>19843.887311082741</v>
      </c>
      <c r="S16" s="250">
        <f>'Org Projections by City'!I180</f>
        <v>44233.893932305014</v>
      </c>
      <c r="T16" s="251">
        <f>SUM(G16:S16)</f>
        <v>742362.39831866487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6.5" x14ac:dyDescent="0.3">
      <c r="A17" s="10"/>
      <c r="B17" s="247" t="s">
        <v>267</v>
      </c>
      <c r="C17" s="248"/>
      <c r="D17" s="248"/>
      <c r="E17" s="248"/>
      <c r="F17" s="249"/>
      <c r="G17" s="250">
        <f>SUM((G14)+(G16-G15))</f>
        <v>6866.925527821033</v>
      </c>
      <c r="H17" s="250">
        <f t="shared" ref="H17:S17" si="2">SUM((H14)+(H16-H15))</f>
        <v>11633.970750470173</v>
      </c>
      <c r="I17" s="250">
        <f t="shared" si="2"/>
        <v>3521.5080307415656</v>
      </c>
      <c r="J17" s="250">
        <f t="shared" si="2"/>
        <v>821.22465072333091</v>
      </c>
      <c r="K17" s="250">
        <f t="shared" si="2"/>
        <v>17269.785600150473</v>
      </c>
      <c r="L17" s="250">
        <f t="shared" si="2"/>
        <v>8814.5125668855489</v>
      </c>
      <c r="M17" s="250">
        <f t="shared" si="2"/>
        <v>23990.390908255307</v>
      </c>
      <c r="N17" s="250">
        <f t="shared" si="2"/>
        <v>10581.435942552584</v>
      </c>
      <c r="O17" s="250">
        <f t="shared" si="2"/>
        <v>86592.307065094952</v>
      </c>
      <c r="P17" s="250">
        <f t="shared" si="2"/>
        <v>25413.527022314651</v>
      </c>
      <c r="Q17" s="250">
        <f t="shared" si="2"/>
        <v>37246.519010267453</v>
      </c>
      <c r="R17" s="250">
        <f t="shared" si="2"/>
        <v>10071.847311082742</v>
      </c>
      <c r="S17" s="250">
        <f t="shared" si="2"/>
        <v>20082.893932305014</v>
      </c>
      <c r="T17" s="251">
        <f>SUM(G17:S17)</f>
        <v>262906.84831866482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6.5" x14ac:dyDescent="0.3">
      <c r="G18" s="34"/>
      <c r="H18" s="34"/>
      <c r="Y18" s="10"/>
      <c r="Z18" s="10"/>
    </row>
    <row r="19" spans="1:31" ht="16.5" x14ac:dyDescent="0.3">
      <c r="A19" s="32" t="s">
        <v>183</v>
      </c>
      <c r="B19" s="10"/>
      <c r="C19" s="10"/>
      <c r="D19" s="10"/>
      <c r="E19" s="10"/>
      <c r="F19" s="10"/>
      <c r="G19" s="10"/>
      <c r="H19" s="10"/>
      <c r="I19" s="10"/>
      <c r="Y19" s="10"/>
      <c r="Z19" s="10"/>
    </row>
    <row r="20" spans="1:31" ht="16.5" x14ac:dyDescent="0.3">
      <c r="A20" s="32"/>
      <c r="B20" s="10"/>
      <c r="C20" s="10"/>
      <c r="D20" s="10"/>
      <c r="E20" s="10"/>
      <c r="F20" s="10"/>
      <c r="G20" s="10"/>
      <c r="H20" s="10"/>
      <c r="I20" s="10"/>
      <c r="Y20" s="10"/>
      <c r="Z20" s="10"/>
    </row>
    <row r="21" spans="1:31" ht="16.5" x14ac:dyDescent="0.3">
      <c r="A21" s="10"/>
      <c r="B21" s="77" t="s">
        <v>184</v>
      </c>
      <c r="C21" s="78"/>
      <c r="D21" s="78"/>
      <c r="E21" s="78"/>
      <c r="F21" s="81"/>
      <c r="G21" s="330" t="s">
        <v>1</v>
      </c>
      <c r="H21" s="331"/>
      <c r="I21" s="329" t="s">
        <v>5</v>
      </c>
      <c r="Y21" s="10"/>
      <c r="Z21" s="10"/>
    </row>
    <row r="22" spans="1:31" ht="16.5" x14ac:dyDescent="0.3">
      <c r="A22" s="10"/>
      <c r="B22" s="79"/>
      <c r="C22" s="80"/>
      <c r="D22" s="80"/>
      <c r="E22" s="80"/>
      <c r="F22" s="82"/>
      <c r="G22" s="84" t="s">
        <v>186</v>
      </c>
      <c r="H22" s="84" t="s">
        <v>2</v>
      </c>
      <c r="I22" s="329"/>
      <c r="N22" s="34"/>
      <c r="Y22" s="10"/>
      <c r="Z22" s="10"/>
    </row>
    <row r="23" spans="1:31" ht="16.5" x14ac:dyDescent="0.3">
      <c r="A23" s="10"/>
      <c r="B23" s="74" t="s">
        <v>187</v>
      </c>
      <c r="C23" s="70"/>
      <c r="D23" s="70"/>
      <c r="E23" s="70"/>
      <c r="F23" s="71"/>
      <c r="G23" s="8">
        <f>T8</f>
        <v>408836.12999999995</v>
      </c>
      <c r="H23" s="8">
        <f>T9</f>
        <v>56851.80999999999</v>
      </c>
      <c r="I23" s="8">
        <f>T10</f>
        <v>479455.54999999993</v>
      </c>
      <c r="K23" s="34"/>
      <c r="Y23" s="10"/>
      <c r="Z23" s="10"/>
    </row>
    <row r="24" spans="1:31" ht="16.5" x14ac:dyDescent="0.3">
      <c r="A24" s="10"/>
      <c r="B24" s="74" t="s">
        <v>206</v>
      </c>
      <c r="C24" s="70"/>
      <c r="D24" s="70"/>
      <c r="E24" s="70"/>
      <c r="F24" s="71"/>
      <c r="G24" s="116">
        <f>G25-G23</f>
        <v>8489.2166993768187</v>
      </c>
      <c r="H24" s="116">
        <f>H25-H23</f>
        <v>46382.435484879992</v>
      </c>
      <c r="I24" s="116">
        <f>T16-T15</f>
        <v>20516.83094109199</v>
      </c>
      <c r="J24" s="34"/>
      <c r="L24">
        <f>242390+20517</f>
        <v>262907</v>
      </c>
      <c r="Y24" s="10"/>
      <c r="Z24" s="10"/>
    </row>
    <row r="25" spans="1:31" ht="16.5" x14ac:dyDescent="0.3">
      <c r="A25" s="10"/>
      <c r="B25" s="74" t="s">
        <v>262</v>
      </c>
      <c r="C25" s="70"/>
      <c r="D25" s="70"/>
      <c r="E25" s="70"/>
      <c r="F25" s="71"/>
      <c r="G25" s="116">
        <f>'Org Projections by City'!U12</f>
        <v>417325.34669937677</v>
      </c>
      <c r="H25" s="116">
        <f>'Org Projections by City'!U26</f>
        <v>103234.24548487998</v>
      </c>
      <c r="I25" s="114">
        <f>T16</f>
        <v>742362.39831866487</v>
      </c>
      <c r="Y25" s="10"/>
      <c r="Z25" s="10"/>
    </row>
    <row r="26" spans="1:31" ht="16.5" x14ac:dyDescent="0.3">
      <c r="B26" s="10"/>
      <c r="C26" s="10"/>
      <c r="D26" s="10"/>
      <c r="E26" s="10"/>
      <c r="F26" s="10"/>
      <c r="G26" s="10"/>
      <c r="H26" s="10"/>
      <c r="I26" s="10"/>
      <c r="J26" s="10"/>
      <c r="Y26" s="10"/>
      <c r="Z26" s="10"/>
    </row>
    <row r="27" spans="1:31" ht="16.5" x14ac:dyDescent="0.3">
      <c r="Y27" s="10"/>
      <c r="Z27" s="10"/>
    </row>
    <row r="28" spans="1:31" ht="16.5" x14ac:dyDescent="0.3">
      <c r="Y28" s="10"/>
      <c r="Z28" s="10"/>
    </row>
    <row r="29" spans="1:31" ht="16.5" x14ac:dyDescent="0.3">
      <c r="Y29" s="10"/>
      <c r="Z29" s="10"/>
    </row>
    <row r="30" spans="1:31" ht="16.5" x14ac:dyDescent="0.3">
      <c r="Y30" s="10"/>
      <c r="Z30" s="10"/>
    </row>
    <row r="31" spans="1:31" ht="16.5" x14ac:dyDescent="0.3">
      <c r="Y31" s="10"/>
      <c r="Z31" s="10"/>
    </row>
    <row r="32" spans="1:31" ht="16.5" x14ac:dyDescent="0.3">
      <c r="Z32" s="10"/>
    </row>
    <row r="33" spans="26:26" ht="16.5" x14ac:dyDescent="0.3">
      <c r="Z33" s="10"/>
    </row>
    <row r="34" spans="26:26" ht="16.5" x14ac:dyDescent="0.3">
      <c r="Z34" s="10"/>
    </row>
    <row r="35" spans="26:26" ht="16.5" x14ac:dyDescent="0.3">
      <c r="Z35" s="10"/>
    </row>
    <row r="36" spans="26:26" ht="16.5" x14ac:dyDescent="0.3">
      <c r="Z36" s="10"/>
    </row>
  </sheetData>
  <mergeCells count="5">
    <mergeCell ref="T5:T6"/>
    <mergeCell ref="B5:E6"/>
    <mergeCell ref="I21:I22"/>
    <mergeCell ref="G21:H21"/>
    <mergeCell ref="B11:F1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5"/>
  <sheetViews>
    <sheetView topLeftCell="A16" workbookViewId="0">
      <selection activeCell="G9" sqref="G9"/>
    </sheetView>
  </sheetViews>
  <sheetFormatPr defaultColWidth="9.140625" defaultRowHeight="15" x14ac:dyDescent="0.25"/>
  <cols>
    <col min="1" max="1" width="9.140625" style="168"/>
    <col min="2" max="2" width="37.28515625" style="168" customWidth="1"/>
    <col min="3" max="3" width="16.85546875" style="168" customWidth="1"/>
    <col min="4" max="4" width="15.5703125" style="168" customWidth="1"/>
    <col min="5" max="5" width="12.5703125" style="168" customWidth="1"/>
    <col min="6" max="6" width="13.85546875" style="168" customWidth="1"/>
    <col min="7" max="7" width="12.5703125" style="168" customWidth="1"/>
    <col min="8" max="8" width="13.5703125" style="168" customWidth="1"/>
    <col min="9" max="9" width="10.85546875" style="168" customWidth="1"/>
    <col min="10" max="10" width="14.140625" style="168" customWidth="1"/>
    <col min="11" max="16384" width="9.140625" style="168"/>
  </cols>
  <sheetData>
    <row r="1" spans="2:15" x14ac:dyDescent="0.25">
      <c r="B1" s="173" t="s">
        <v>217</v>
      </c>
    </row>
    <row r="3" spans="2:15" x14ac:dyDescent="0.25">
      <c r="B3" s="142"/>
      <c r="C3" s="143" t="s">
        <v>218</v>
      </c>
      <c r="D3" s="144" t="s">
        <v>219</v>
      </c>
      <c r="E3" s="252" t="s">
        <v>220</v>
      </c>
      <c r="F3" s="253" t="s">
        <v>235</v>
      </c>
      <c r="G3" s="240"/>
    </row>
    <row r="4" spans="2:15" x14ac:dyDescent="0.25">
      <c r="B4" s="152" t="s">
        <v>221</v>
      </c>
      <c r="C4" s="258">
        <f>'Org Projections by City'!V37</f>
        <v>721845.56737757288</v>
      </c>
      <c r="D4" s="259">
        <f>'Org Projections by City'!T37</f>
        <v>242390.01737757295</v>
      </c>
      <c r="E4" s="258">
        <f>'Org Projections by City'!U37</f>
        <v>479455.54999999993</v>
      </c>
      <c r="F4" s="260">
        <f>E4/C4</f>
        <v>0.66420792987873678</v>
      </c>
      <c r="G4" s="167"/>
    </row>
    <row r="5" spans="2:15" x14ac:dyDescent="0.25">
      <c r="B5" s="171" t="s">
        <v>186</v>
      </c>
      <c r="C5" s="159">
        <f>'Org Projections by City'!V9</f>
        <v>495824.26602707966</v>
      </c>
      <c r="D5" s="160">
        <f>'Org Projections by City'!T9</f>
        <v>86988.13602707973</v>
      </c>
      <c r="E5" s="161">
        <f>'Org Projections by City'!U9</f>
        <v>408836.12999999995</v>
      </c>
      <c r="F5" s="254">
        <f>E5/C5</f>
        <v>0.82455853416756975</v>
      </c>
      <c r="G5" s="167"/>
      <c r="H5" s="167"/>
    </row>
    <row r="6" spans="2:15" x14ac:dyDescent="0.25">
      <c r="B6" s="261" t="s">
        <v>2</v>
      </c>
      <c r="C6" s="262">
        <f>'Org Projections by City'!V23</f>
        <v>212253.69135049323</v>
      </c>
      <c r="D6" s="191">
        <f>'Org Projections by City'!T23</f>
        <v>155401.88135049323</v>
      </c>
      <c r="E6" s="263">
        <f>'Org Projections by City'!U23</f>
        <v>56851.80999999999</v>
      </c>
      <c r="F6" s="264">
        <f>E6/C6</f>
        <v>0.26784839235667729</v>
      </c>
      <c r="G6" s="167"/>
      <c r="H6" s="167"/>
    </row>
    <row r="7" spans="2:15" x14ac:dyDescent="0.25">
      <c r="B7" s="337"/>
      <c r="C7" s="337"/>
      <c r="D7" s="337"/>
      <c r="E7" s="337"/>
      <c r="F7" s="172"/>
    </row>
    <row r="8" spans="2:15" x14ac:dyDescent="0.25">
      <c r="F8" s="167"/>
    </row>
    <row r="9" spans="2:15" x14ac:dyDescent="0.25">
      <c r="B9" s="173" t="s">
        <v>222</v>
      </c>
    </row>
    <row r="11" spans="2:15" x14ac:dyDescent="0.25">
      <c r="B11" s="145" t="s">
        <v>186</v>
      </c>
      <c r="C11" s="146"/>
      <c r="D11" s="146"/>
      <c r="E11" s="146"/>
      <c r="F11" s="146"/>
      <c r="G11" s="146"/>
      <c r="H11" s="147"/>
    </row>
    <row r="12" spans="2:15" x14ac:dyDescent="0.25">
      <c r="B12" s="148"/>
      <c r="C12" s="149" t="s">
        <v>219</v>
      </c>
      <c r="D12" s="150"/>
      <c r="E12" s="150" t="s">
        <v>220</v>
      </c>
      <c r="F12" s="151"/>
      <c r="G12" s="149" t="s">
        <v>218</v>
      </c>
      <c r="H12" s="151"/>
    </row>
    <row r="13" spans="2:15" x14ac:dyDescent="0.25">
      <c r="B13" s="152" t="s">
        <v>223</v>
      </c>
      <c r="C13" s="153" t="s">
        <v>224</v>
      </c>
      <c r="D13" s="154" t="s">
        <v>225</v>
      </c>
      <c r="E13" s="154" t="s">
        <v>224</v>
      </c>
      <c r="F13" s="155" t="s">
        <v>225</v>
      </c>
      <c r="G13" s="153" t="s">
        <v>224</v>
      </c>
      <c r="H13" s="155" t="s">
        <v>225</v>
      </c>
      <c r="L13" s="168" t="s">
        <v>186</v>
      </c>
      <c r="N13" s="168" t="s">
        <v>2</v>
      </c>
    </row>
    <row r="14" spans="2:15" x14ac:dyDescent="0.25">
      <c r="B14" s="156" t="s">
        <v>226</v>
      </c>
      <c r="C14" s="175">
        <f>SUM(C15:C20)</f>
        <v>1</v>
      </c>
      <c r="D14" s="157">
        <f>'Waste by Jurisdiction'!T50</f>
        <v>86988.13602707973</v>
      </c>
      <c r="E14" s="176">
        <f>SUM(E15:E20)</f>
        <v>1.0000000000000002</v>
      </c>
      <c r="F14" s="158">
        <f>'Waste by Jurisdiction'!T66</f>
        <v>408836.12999999995</v>
      </c>
      <c r="G14" s="175">
        <f>SUM(G15:G20)</f>
        <v>1.0000000000000002</v>
      </c>
      <c r="H14" s="158">
        <f>'Waste by Jurisdiction'!$T$50+'Waste by Jurisdiction'!$T$66</f>
        <v>495824.26602707966</v>
      </c>
      <c r="L14" s="168" t="s">
        <v>219</v>
      </c>
      <c r="M14" s="168" t="s">
        <v>220</v>
      </c>
      <c r="N14" s="168" t="s">
        <v>229</v>
      </c>
      <c r="O14" s="168" t="s">
        <v>220</v>
      </c>
    </row>
    <row r="15" spans="2:15" x14ac:dyDescent="0.25">
      <c r="B15" s="189" t="s">
        <v>8</v>
      </c>
      <c r="C15" s="190">
        <f>D15/$D$14</f>
        <v>3.8549812469818423E-2</v>
      </c>
      <c r="D15" s="191">
        <f>'Waste by Jurisdiction'!$T$47</f>
        <v>3353.3763309429792</v>
      </c>
      <c r="E15" s="255">
        <f t="shared" ref="E15:E20" si="0">F15/$F$14</f>
        <v>0</v>
      </c>
      <c r="F15" s="192">
        <v>0</v>
      </c>
      <c r="G15" s="190">
        <f t="shared" ref="G15:G20" si="1">H15/$H$14</f>
        <v>6.7632356072702439E-3</v>
      </c>
      <c r="H15" s="192">
        <f t="shared" ref="H15:H20" si="2">D15+F15</f>
        <v>3353.3763309429792</v>
      </c>
      <c r="K15" s="163" t="s">
        <v>8</v>
      </c>
      <c r="L15" s="167">
        <f t="shared" ref="L15:L20" si="3">D15</f>
        <v>3353.3763309429792</v>
      </c>
      <c r="M15" s="167">
        <f t="shared" ref="M15:M20" si="4">F15</f>
        <v>0</v>
      </c>
      <c r="N15" s="167">
        <f t="shared" ref="N15:N20" si="5">D27</f>
        <v>19696.765467460784</v>
      </c>
      <c r="O15" s="167">
        <f t="shared" ref="O15:O20" si="6">F27</f>
        <v>253.64</v>
      </c>
    </row>
    <row r="16" spans="2:15" x14ac:dyDescent="0.25">
      <c r="B16" s="163" t="s">
        <v>7</v>
      </c>
      <c r="C16" s="174">
        <f t="shared" ref="C16:C20" si="7">D16/$D$14</f>
        <v>0.1422474941988949</v>
      </c>
      <c r="D16" s="162">
        <f>'Waste by Jurisdiction'!$T$46</f>
        <v>12373.844374884706</v>
      </c>
      <c r="E16" s="177">
        <f t="shared" si="0"/>
        <v>0</v>
      </c>
      <c r="F16" s="166">
        <v>0</v>
      </c>
      <c r="G16" s="174">
        <f t="shared" si="1"/>
        <v>2.4956108893244251E-2</v>
      </c>
      <c r="H16" s="166">
        <f t="shared" si="2"/>
        <v>12373.844374884706</v>
      </c>
      <c r="K16" s="163" t="s">
        <v>7</v>
      </c>
      <c r="L16" s="167">
        <f t="shared" si="3"/>
        <v>12373.844374884706</v>
      </c>
      <c r="M16" s="167">
        <f t="shared" si="4"/>
        <v>0</v>
      </c>
      <c r="N16" s="167">
        <f t="shared" si="5"/>
        <v>17832.198215794695</v>
      </c>
      <c r="O16" s="167">
        <f t="shared" si="6"/>
        <v>0</v>
      </c>
    </row>
    <row r="17" spans="2:15" x14ac:dyDescent="0.25">
      <c r="B17" s="189" t="s">
        <v>3</v>
      </c>
      <c r="C17" s="190">
        <f t="shared" si="7"/>
        <v>0.35434073493714879</v>
      </c>
      <c r="D17" s="191">
        <f>'Waste by Jurisdiction'!$T$45</f>
        <v>30823.440050648103</v>
      </c>
      <c r="E17" s="255">
        <f t="shared" si="0"/>
        <v>9.516543951240318E-2</v>
      </c>
      <c r="F17" s="192">
        <f>'Waste by Jurisdiction'!$T$65</f>
        <v>38907.07</v>
      </c>
      <c r="G17" s="190">
        <f t="shared" si="1"/>
        <v>0.14063553324927372</v>
      </c>
      <c r="H17" s="192">
        <f t="shared" si="2"/>
        <v>69730.510050648096</v>
      </c>
      <c r="K17" s="163" t="s">
        <v>3</v>
      </c>
      <c r="L17" s="167">
        <f t="shared" si="3"/>
        <v>30823.440050648103</v>
      </c>
      <c r="M17" s="167">
        <f t="shared" si="4"/>
        <v>38907.07</v>
      </c>
      <c r="N17" s="167">
        <f t="shared" si="5"/>
        <v>49925.801893567907</v>
      </c>
      <c r="O17" s="167">
        <f t="shared" si="6"/>
        <v>1998.3</v>
      </c>
    </row>
    <row r="18" spans="2:15" x14ac:dyDescent="0.25">
      <c r="B18" s="189" t="s">
        <v>216</v>
      </c>
      <c r="C18" s="190">
        <f t="shared" si="7"/>
        <v>0.31286797536997019</v>
      </c>
      <c r="D18" s="191">
        <f>'Waste by Jurisdiction'!T48</f>
        <v>27215.802</v>
      </c>
      <c r="E18" s="255">
        <f t="shared" si="0"/>
        <v>0.60066393838528909</v>
      </c>
      <c r="F18" s="192">
        <f>'Waste by Jurisdiction'!T63</f>
        <v>245573.12000000002</v>
      </c>
      <c r="G18" s="190">
        <f t="shared" si="1"/>
        <v>0.55017259277322572</v>
      </c>
      <c r="H18" s="192">
        <f t="shared" si="2"/>
        <v>272788.92200000002</v>
      </c>
      <c r="K18" s="163" t="s">
        <v>216</v>
      </c>
      <c r="L18" s="167">
        <f t="shared" si="3"/>
        <v>27215.802</v>
      </c>
      <c r="M18" s="167">
        <f t="shared" si="4"/>
        <v>245573.12000000002</v>
      </c>
      <c r="N18" s="167">
        <f t="shared" si="5"/>
        <v>48903.119999999995</v>
      </c>
      <c r="O18" s="167">
        <f t="shared" si="6"/>
        <v>54554.319999999992</v>
      </c>
    </row>
    <row r="19" spans="2:15" x14ac:dyDescent="0.25">
      <c r="B19" s="163" t="s">
        <v>227</v>
      </c>
      <c r="C19" s="174">
        <f t="shared" si="7"/>
        <v>3.2292514557952122E-3</v>
      </c>
      <c r="D19" s="225">
        <f>'Waste by Jurisdiction'!T49</f>
        <v>280.90656490235915</v>
      </c>
      <c r="E19" s="177">
        <f t="shared" si="0"/>
        <v>0</v>
      </c>
      <c r="F19" s="226">
        <v>0</v>
      </c>
      <c r="G19" s="227">
        <f t="shared" si="1"/>
        <v>5.6654460894622156E-4</v>
      </c>
      <c r="H19" s="166">
        <f t="shared" si="2"/>
        <v>280.90656490235915</v>
      </c>
      <c r="K19" s="163" t="s">
        <v>227</v>
      </c>
      <c r="L19" s="167">
        <f t="shared" si="3"/>
        <v>280.90656490235915</v>
      </c>
      <c r="M19" s="167">
        <f t="shared" si="4"/>
        <v>0</v>
      </c>
      <c r="N19" s="167">
        <f t="shared" si="5"/>
        <v>3116.0184062728977</v>
      </c>
      <c r="O19" s="167">
        <f t="shared" si="6"/>
        <v>0</v>
      </c>
    </row>
    <row r="20" spans="2:15" x14ac:dyDescent="0.25">
      <c r="B20" s="163" t="s">
        <v>6</v>
      </c>
      <c r="C20" s="174">
        <f t="shared" si="7"/>
        <v>0.1487647315683725</v>
      </c>
      <c r="D20" s="162">
        <f>'Waste by Jurisdiction'!$T$44</f>
        <v>12940.76670570159</v>
      </c>
      <c r="E20" s="177">
        <f t="shared" si="0"/>
        <v>0.30417062210230789</v>
      </c>
      <c r="F20" s="166">
        <f>'Waste by Jurisdiction'!$T$64</f>
        <v>124355.94</v>
      </c>
      <c r="G20" s="174">
        <f t="shared" si="1"/>
        <v>0.27690598486804008</v>
      </c>
      <c r="H20" s="166">
        <f t="shared" si="2"/>
        <v>137296.7067057016</v>
      </c>
      <c r="K20" s="163" t="s">
        <v>6</v>
      </c>
      <c r="L20" s="167">
        <f t="shared" si="3"/>
        <v>12940.76670570159</v>
      </c>
      <c r="M20" s="167">
        <f t="shared" si="4"/>
        <v>124355.94</v>
      </c>
      <c r="N20" s="167">
        <f t="shared" si="5"/>
        <v>15927.977367396934</v>
      </c>
      <c r="O20" s="167">
        <f t="shared" si="6"/>
        <v>45.55</v>
      </c>
    </row>
    <row r="21" spans="2:15" x14ac:dyDescent="0.25">
      <c r="B21" s="169"/>
      <c r="C21" s="169" t="s">
        <v>228</v>
      </c>
      <c r="D21" s="162"/>
      <c r="E21" s="165"/>
      <c r="F21" s="170"/>
      <c r="G21" s="165"/>
      <c r="H21" s="170"/>
    </row>
    <row r="23" spans="2:15" x14ac:dyDescent="0.25">
      <c r="B23" s="145" t="s">
        <v>2</v>
      </c>
      <c r="C23" s="146"/>
      <c r="D23" s="146"/>
      <c r="E23" s="146"/>
      <c r="F23" s="146"/>
      <c r="G23" s="146"/>
      <c r="H23" s="147"/>
    </row>
    <row r="24" spans="2:15" x14ac:dyDescent="0.25">
      <c r="B24" s="148"/>
      <c r="C24" s="149" t="s">
        <v>219</v>
      </c>
      <c r="D24" s="150"/>
      <c r="E24" s="150" t="s">
        <v>220</v>
      </c>
      <c r="F24" s="151"/>
      <c r="G24" s="149" t="s">
        <v>218</v>
      </c>
      <c r="H24" s="151"/>
    </row>
    <row r="25" spans="2:15" x14ac:dyDescent="0.25">
      <c r="B25" s="152" t="s">
        <v>223</v>
      </c>
      <c r="C25" s="153" t="s">
        <v>224</v>
      </c>
      <c r="D25" s="154" t="s">
        <v>225</v>
      </c>
      <c r="E25" s="154" t="s">
        <v>224</v>
      </c>
      <c r="F25" s="155" t="s">
        <v>225</v>
      </c>
      <c r="G25" s="153" t="s">
        <v>224</v>
      </c>
      <c r="H25" s="155" t="s">
        <v>225</v>
      </c>
    </row>
    <row r="26" spans="2:15" x14ac:dyDescent="0.25">
      <c r="B26" s="156" t="s">
        <v>226</v>
      </c>
      <c r="C26" s="175">
        <f>SUM(C27:C32)</f>
        <v>0.99999999999999989</v>
      </c>
      <c r="D26" s="157">
        <f>'Waste by Jurisdiction'!$T$58</f>
        <v>155401.88135049323</v>
      </c>
      <c r="E26" s="176">
        <f>SUM(E27:E32)</f>
        <v>1</v>
      </c>
      <c r="F26" s="158">
        <f>'Waste by Jurisdiction'!T72</f>
        <v>56851.80999999999</v>
      </c>
      <c r="G26" s="175">
        <f>SUM(G27:G32)</f>
        <v>1</v>
      </c>
      <c r="H26" s="158">
        <f>'Waste by Jurisdiction'!T58+'Waste by Jurisdiction'!T72</f>
        <v>212253.69135049323</v>
      </c>
      <c r="J26" s="178"/>
    </row>
    <row r="27" spans="2:15" x14ac:dyDescent="0.25">
      <c r="B27" s="189" t="s">
        <v>8</v>
      </c>
      <c r="C27" s="190">
        <f t="shared" ref="C27:C32" si="8">D27/$D$26</f>
        <v>0.12674727806568004</v>
      </c>
      <c r="D27" s="191">
        <f>'Waste by Jurisdiction'!T55</f>
        <v>19696.765467460784</v>
      </c>
      <c r="E27" s="255">
        <f t="shared" ref="E27:E32" si="9">F27/$F$26</f>
        <v>4.4614234797449729E-3</v>
      </c>
      <c r="F27" s="192">
        <f>'Waste by Jurisdiction'!T71</f>
        <v>253.64</v>
      </c>
      <c r="G27" s="190">
        <f t="shared" ref="G27:G32" si="10">H27/$H$26</f>
        <v>9.3993208506874912E-2</v>
      </c>
      <c r="H27" s="192">
        <f t="shared" ref="H27:H32" si="11">D27+F27</f>
        <v>19950.405467460783</v>
      </c>
      <c r="I27" s="167"/>
    </row>
    <row r="28" spans="2:15" x14ac:dyDescent="0.25">
      <c r="B28" s="163" t="s">
        <v>7</v>
      </c>
      <c r="C28" s="174">
        <f t="shared" si="8"/>
        <v>0.11474892106084594</v>
      </c>
      <c r="D28" s="162">
        <f>'Waste by Jurisdiction'!T54</f>
        <v>17832.198215794695</v>
      </c>
      <c r="E28" s="177">
        <f t="shared" si="9"/>
        <v>0</v>
      </c>
      <c r="F28" s="166">
        <v>0</v>
      </c>
      <c r="G28" s="174">
        <f t="shared" si="10"/>
        <v>8.401360703003509E-2</v>
      </c>
      <c r="H28" s="166">
        <f t="shared" si="11"/>
        <v>17832.198215794695</v>
      </c>
    </row>
    <row r="29" spans="2:15" x14ac:dyDescent="0.25">
      <c r="B29" s="189" t="s">
        <v>3</v>
      </c>
      <c r="C29" s="190">
        <f t="shared" si="8"/>
        <v>0.32126896701440383</v>
      </c>
      <c r="D29" s="191">
        <f>'Waste by Jurisdiction'!T53</f>
        <v>49925.801893567907</v>
      </c>
      <c r="E29" s="255">
        <f t="shared" si="9"/>
        <v>3.5149276689695551E-2</v>
      </c>
      <c r="F29" s="192">
        <f>'Waste by Jurisdiction'!T70</f>
        <v>1998.3</v>
      </c>
      <c r="G29" s="190">
        <f t="shared" si="10"/>
        <v>0.24463226793934037</v>
      </c>
      <c r="H29" s="192">
        <f t="shared" si="11"/>
        <v>51924.101893567909</v>
      </c>
    </row>
    <row r="30" spans="2:15" x14ac:dyDescent="0.25">
      <c r="B30" s="189" t="s">
        <v>216</v>
      </c>
      <c r="C30" s="190">
        <f t="shared" si="8"/>
        <v>0.31468808211982935</v>
      </c>
      <c r="D30" s="191">
        <f>'Waste by Jurisdiction'!T56</f>
        <v>48903.119999999995</v>
      </c>
      <c r="E30" s="255">
        <f t="shared" si="9"/>
        <v>0.95958809402902034</v>
      </c>
      <c r="F30" s="192">
        <f>'Waste by Jurisdiction'!T68</f>
        <v>54554.319999999992</v>
      </c>
      <c r="G30" s="190">
        <f t="shared" si="10"/>
        <v>0.48742351354050822</v>
      </c>
      <c r="H30" s="192">
        <f t="shared" si="11"/>
        <v>103457.43999999999</v>
      </c>
    </row>
    <row r="31" spans="2:15" x14ac:dyDescent="0.25">
      <c r="B31" s="163" t="s">
        <v>227</v>
      </c>
      <c r="C31" s="174">
        <f t="shared" si="8"/>
        <v>2.0051355744175537E-2</v>
      </c>
      <c r="D31" s="162">
        <f>'Waste by Jurisdiction'!T57</f>
        <v>3116.0184062728977</v>
      </c>
      <c r="E31" s="177">
        <f t="shared" si="9"/>
        <v>0</v>
      </c>
      <c r="F31" s="166">
        <v>0</v>
      </c>
      <c r="G31" s="174">
        <f t="shared" si="10"/>
        <v>1.4680632343526291E-2</v>
      </c>
      <c r="H31" s="166">
        <f t="shared" si="11"/>
        <v>3116.0184062728977</v>
      </c>
    </row>
    <row r="32" spans="2:15" x14ac:dyDescent="0.25">
      <c r="B32" s="163" t="s">
        <v>6</v>
      </c>
      <c r="C32" s="174">
        <f t="shared" si="8"/>
        <v>0.10249539599506514</v>
      </c>
      <c r="D32" s="162">
        <f>'Waste by Jurisdiction'!T52</f>
        <v>15927.977367396934</v>
      </c>
      <c r="E32" s="177">
        <f t="shared" si="9"/>
        <v>8.0120580153912439E-4</v>
      </c>
      <c r="F32" s="166">
        <f>'Waste by Jurisdiction'!T69</f>
        <v>45.55</v>
      </c>
      <c r="G32" s="174">
        <f t="shared" si="10"/>
        <v>7.5256770639715018E-2</v>
      </c>
      <c r="H32" s="166">
        <f t="shared" si="11"/>
        <v>15973.527367396933</v>
      </c>
    </row>
    <row r="33" spans="1:15" x14ac:dyDescent="0.25">
      <c r="B33" s="169"/>
      <c r="C33" s="169" t="s">
        <v>228</v>
      </c>
      <c r="G33" s="164"/>
    </row>
    <row r="34" spans="1:15" x14ac:dyDescent="0.25">
      <c r="D34" s="167"/>
      <c r="F34" s="167"/>
      <c r="H34" s="167"/>
    </row>
    <row r="36" spans="1:15" x14ac:dyDescent="0.25">
      <c r="C36" s="338" t="s">
        <v>258</v>
      </c>
      <c r="D36" s="338"/>
      <c r="E36" s="338"/>
      <c r="F36" s="339" t="s">
        <v>259</v>
      </c>
      <c r="G36" s="340"/>
      <c r="H36" s="341"/>
    </row>
    <row r="37" spans="1:15" ht="30" x14ac:dyDescent="0.25">
      <c r="B37" s="183" t="s">
        <v>234</v>
      </c>
      <c r="C37" s="184" t="s">
        <v>2</v>
      </c>
      <c r="D37" s="184" t="s">
        <v>186</v>
      </c>
      <c r="E37" s="211" t="s">
        <v>261</v>
      </c>
      <c r="F37" s="184" t="s">
        <v>2</v>
      </c>
      <c r="G37" s="184" t="s">
        <v>186</v>
      </c>
      <c r="H37" s="211" t="s">
        <v>264</v>
      </c>
      <c r="L37" s="168">
        <v>2015</v>
      </c>
      <c r="N37" s="168">
        <v>2021</v>
      </c>
    </row>
    <row r="38" spans="1:15" x14ac:dyDescent="0.25">
      <c r="A38" s="182"/>
      <c r="B38" s="181" t="s">
        <v>23</v>
      </c>
      <c r="C38" s="218">
        <f>'Waste by Jurisdiction'!G34/('Waste by Jurisdiction'!G34+'Waste by Jurisdiction'!G20)</f>
        <v>0.74542511731226113</v>
      </c>
      <c r="D38" s="218">
        <f>'Waste by Jurisdiction'!G28/('Waste by Jurisdiction'!G28+'Waste by Jurisdiction'!G13)</f>
        <v>0.64946428467448003</v>
      </c>
      <c r="E38" s="219">
        <f>'Waste by Jurisdiction'!G35/'Waste by Jurisdiction'!G36</f>
        <v>0.6928087124611233</v>
      </c>
      <c r="F38" s="218">
        <f>'Waste by Jurisdiction'!G72/('Waste by Jurisdiction'!G72+'Waste by Jurisdiction'!G58)</f>
        <v>0.67329720963711104</v>
      </c>
      <c r="G38" s="218">
        <f>'Waste by Jurisdiction'!G66/('Waste by Jurisdiction'!G66+'Waste by Jurisdiction'!G50)</f>
        <v>0.66113253635189373</v>
      </c>
      <c r="H38" s="219">
        <f>'Waste by Jurisdiction'!G73/'Waste by Jurisdiction'!G74</f>
        <v>0.66604316189163792</v>
      </c>
      <c r="L38" s="168" t="s">
        <v>219</v>
      </c>
      <c r="M38" s="168" t="s">
        <v>220</v>
      </c>
      <c r="N38" s="168" t="s">
        <v>219</v>
      </c>
      <c r="O38" s="168" t="s">
        <v>220</v>
      </c>
    </row>
    <row r="39" spans="1:15" x14ac:dyDescent="0.25">
      <c r="A39" s="182"/>
      <c r="B39" s="185" t="s">
        <v>214</v>
      </c>
      <c r="C39" s="220" t="s">
        <v>236</v>
      </c>
      <c r="D39" s="220" t="s">
        <v>236</v>
      </c>
      <c r="E39" s="221">
        <f>'Waste by Jurisdiction'!H35/'Waste by Jurisdiction'!H36</f>
        <v>0.45240091245096054</v>
      </c>
      <c r="F39" s="220" t="s">
        <v>236</v>
      </c>
      <c r="G39" s="220" t="s">
        <v>236</v>
      </c>
      <c r="H39" s="221">
        <f>'Waste by Jurisdiction'!H73/'Waste by Jurisdiction'!H74</f>
        <v>0.42151101203462016</v>
      </c>
      <c r="K39" s="168" t="s">
        <v>255</v>
      </c>
      <c r="L39" s="168">
        <f>123400</f>
        <v>123400</v>
      </c>
      <c r="M39" s="168">
        <f>222100</f>
        <v>222100</v>
      </c>
      <c r="N39" s="167">
        <f>D5</f>
        <v>86988.13602707973</v>
      </c>
      <c r="O39" s="167">
        <f>E5</f>
        <v>408836.12999999995</v>
      </c>
    </row>
    <row r="40" spans="1:15" x14ac:dyDescent="0.25">
      <c r="A40" s="182"/>
      <c r="B40" s="181" t="s">
        <v>25</v>
      </c>
      <c r="C40" s="267" t="s">
        <v>236</v>
      </c>
      <c r="D40" s="218">
        <f>'Waste by Jurisdiction'!I28/('Waste by Jurisdiction'!I28+'Waste by Jurisdiction'!I13)</f>
        <v>0.8945454644748192</v>
      </c>
      <c r="E40" s="222">
        <f>'Waste by Jurisdiction'!I35/'Waste by Jurisdiction'!I36</f>
        <v>0.84471787392751929</v>
      </c>
      <c r="F40" s="218">
        <f>'Waste by Jurisdiction'!I72/('Waste by Jurisdiction'!I72+'Waste by Jurisdiction'!I58)</f>
        <v>8.4493180440995339E-2</v>
      </c>
      <c r="G40" s="218">
        <f>'Waste by Jurisdiction'!I66/('Waste by Jurisdiction'!I66+'Waste by Jurisdiction'!I50)</f>
        <v>0.86936059939640553</v>
      </c>
      <c r="H40" s="222">
        <f>'Waste by Jurisdiction'!I73/'Waste by Jurisdiction'!I74</f>
        <v>0.79367192837850598</v>
      </c>
      <c r="K40" s="168" t="s">
        <v>256</v>
      </c>
      <c r="L40" s="168">
        <v>75800</v>
      </c>
      <c r="M40" s="168">
        <v>129000</v>
      </c>
      <c r="N40" s="167">
        <f>D6</f>
        <v>155401.88135049323</v>
      </c>
      <c r="O40" s="167">
        <f>E6</f>
        <v>56851.80999999999</v>
      </c>
    </row>
    <row r="41" spans="1:15" x14ac:dyDescent="0.25">
      <c r="A41" s="182"/>
      <c r="B41" s="281" t="s">
        <v>204</v>
      </c>
      <c r="C41" s="285" t="s">
        <v>236</v>
      </c>
      <c r="D41" s="282">
        <f>'Waste by Jurisdiction'!J28/('Waste by Jurisdiction'!J21+'Waste by Jurisdiction'!J28)</f>
        <v>0.97087171363767844</v>
      </c>
      <c r="E41" s="283">
        <f>D41</f>
        <v>0.97087171363767844</v>
      </c>
      <c r="F41" s="285" t="s">
        <v>236</v>
      </c>
      <c r="G41" s="282">
        <f>'Waste by Jurisdiction'!J66/('Waste by Jurisdiction'!J59+'Waste by Jurisdiction'!J66)</f>
        <v>0.86769397942843174</v>
      </c>
      <c r="H41" s="283">
        <f>G41</f>
        <v>0.86769397942843174</v>
      </c>
    </row>
    <row r="42" spans="1:15" x14ac:dyDescent="0.25">
      <c r="A42" s="182"/>
      <c r="B42" s="278" t="s">
        <v>28</v>
      </c>
      <c r="C42" s="279">
        <f>'Waste by Jurisdiction'!K34/('Waste by Jurisdiction'!K34+'Waste by Jurisdiction'!K20)</f>
        <v>0.13959928320476192</v>
      </c>
      <c r="D42" s="279">
        <f>'Waste by Jurisdiction'!K28/('Waste by Jurisdiction'!K28+'Waste by Jurisdiction'!K13)</f>
        <v>0.70658917201592664</v>
      </c>
      <c r="E42" s="280">
        <f>'Waste by Jurisdiction'!K35/'Waste by Jurisdiction'!K36</f>
        <v>0.3765906866515874</v>
      </c>
      <c r="F42" s="279">
        <f>'Waste by Jurisdiction'!K72/('Waste by Jurisdiction'!K72+'Waste by Jurisdiction'!K58)</f>
        <v>0.11455743209571205</v>
      </c>
      <c r="G42" s="279">
        <f>'Waste by Jurisdiction'!K66/('Waste by Jurisdiction'!K66+'Waste by Jurisdiction'!K50)</f>
        <v>0.66718408803295859</v>
      </c>
      <c r="H42" s="280">
        <f>'Waste by Jurisdiction'!K73/'Waste by Jurisdiction'!K74</f>
        <v>0.367635855174754</v>
      </c>
    </row>
    <row r="43" spans="1:15" x14ac:dyDescent="0.25">
      <c r="A43" s="182"/>
      <c r="B43" s="286" t="s">
        <v>24</v>
      </c>
      <c r="C43" s="287" t="s">
        <v>236</v>
      </c>
      <c r="D43" s="287" t="s">
        <v>236</v>
      </c>
      <c r="E43" s="283">
        <f>'Waste by Jurisdiction'!L35/'Waste by Jurisdiction'!L36</f>
        <v>0.38590596648878117</v>
      </c>
      <c r="F43" s="287" t="s">
        <v>236</v>
      </c>
      <c r="G43" s="287" t="s">
        <v>236</v>
      </c>
      <c r="H43" s="283">
        <f>'Waste by Jurisdiction'!L73/'Waste by Jurisdiction'!L74</f>
        <v>0.40333871469504939</v>
      </c>
    </row>
    <row r="44" spans="1:15" x14ac:dyDescent="0.25">
      <c r="A44" s="182"/>
      <c r="B44" s="278" t="s">
        <v>30</v>
      </c>
      <c r="C44" s="279">
        <f>'Waste by Jurisdiction'!M34/('Waste by Jurisdiction'!M34+'Waste by Jurisdiction'!M20)</f>
        <v>0.14196413358183044</v>
      </c>
      <c r="D44" s="279">
        <f>'Waste by Jurisdiction'!M28/('Waste by Jurisdiction'!M28+'Waste by Jurisdiction'!M13)</f>
        <v>0.57975743617252717</v>
      </c>
      <c r="E44" s="280">
        <f>'Waste by Jurisdiction'!M35/'Waste by Jurisdiction'!M36</f>
        <v>0.35251994568564854</v>
      </c>
      <c r="F44" s="279">
        <f>'Waste by Jurisdiction'!M72/('Waste by Jurisdiction'!M72+'Waste by Jurisdiction'!M58)</f>
        <v>0.15318335143772926</v>
      </c>
      <c r="G44" s="279">
        <f>'Waste by Jurisdiction'!M66/('Waste by Jurisdiction'!M66+'Waste by Jurisdiction'!M50)</f>
        <v>0.46321116202477647</v>
      </c>
      <c r="H44" s="280">
        <f>'Waste by Jurisdiction'!M73/'Waste by Jurisdiction'!M74</f>
        <v>0.30767307521286852</v>
      </c>
    </row>
    <row r="45" spans="1:15" x14ac:dyDescent="0.25">
      <c r="A45" s="182"/>
      <c r="B45" s="281" t="s">
        <v>31</v>
      </c>
      <c r="C45" s="282">
        <f>'Waste by Jurisdiction'!N34/('Waste by Jurisdiction'!N34+'Waste by Jurisdiction'!N20)</f>
        <v>0.65302632997805232</v>
      </c>
      <c r="D45" s="282">
        <f>'Waste by Jurisdiction'!N28/('Waste by Jurisdiction'!N28+'Waste by Jurisdiction'!N13)</f>
        <v>0.84542736410042763</v>
      </c>
      <c r="E45" s="283">
        <f>'Waste by Jurisdiction'!N35/'Waste by Jurisdiction'!N36</f>
        <v>0.73446169698242825</v>
      </c>
      <c r="F45" s="282">
        <f>'Waste by Jurisdiction'!N72/('Waste by Jurisdiction'!N72+'Waste by Jurisdiction'!N58)</f>
        <v>0.58570263107459331</v>
      </c>
      <c r="G45" s="282">
        <f>'Waste by Jurisdiction'!N66/('Waste by Jurisdiction'!N66+'Waste by Jurisdiction'!N50)</f>
        <v>0.83814863097073755</v>
      </c>
      <c r="H45" s="283">
        <f>'Waste by Jurisdiction'!N73/'Waste by Jurisdiction'!N74</f>
        <v>0.71675893520466172</v>
      </c>
    </row>
    <row r="46" spans="1:15" x14ac:dyDescent="0.25">
      <c r="A46" s="182"/>
      <c r="B46" s="278" t="s">
        <v>32</v>
      </c>
      <c r="C46" s="279">
        <f>'Waste by Jurisdiction'!O34/('Waste by Jurisdiction'!O34+'Waste by Jurisdiction'!O20)</f>
        <v>0.96068703798869426</v>
      </c>
      <c r="D46" s="279">
        <f>'Waste by Jurisdiction'!O28/('Waste by Jurisdiction'!O28+'Waste by Jurisdiction'!O13)</f>
        <v>0.95060320272283005</v>
      </c>
      <c r="E46" s="280">
        <f>'Waste by Jurisdiction'!O35/'Waste by Jurisdiction'!O36</f>
        <v>0.95194489955318984</v>
      </c>
      <c r="F46" s="279">
        <f>'Waste by Jurisdiction'!O72/('Waste by Jurisdiction'!O72+'Waste by Jurisdiction'!O58)</f>
        <v>0.34830701230221917</v>
      </c>
      <c r="G46" s="279">
        <f>'Waste by Jurisdiction'!O66/('Waste by Jurisdiction'!O66+'Waste by Jurisdiction'!O50)</f>
        <v>0.91633888115177076</v>
      </c>
      <c r="H46" s="280">
        <f>'Waste by Jurisdiction'!O73/'Waste by Jurisdiction'!O74</f>
        <v>0.80767600023983488</v>
      </c>
    </row>
    <row r="47" spans="1:15" x14ac:dyDescent="0.25">
      <c r="A47" s="182"/>
      <c r="B47" s="281" t="s">
        <v>33</v>
      </c>
      <c r="C47" s="282">
        <f>'Waste by Jurisdiction'!P34/('Waste by Jurisdiction'!P34+'Waste by Jurisdiction'!P20)</f>
        <v>0.39887893788342743</v>
      </c>
      <c r="D47" s="282">
        <f>'Waste by Jurisdiction'!P28/('Waste by Jurisdiction'!P28+'Waste by Jurisdiction'!P13)</f>
        <v>0.6489450064103448</v>
      </c>
      <c r="E47" s="283">
        <f>'Waste by Jurisdiction'!P35/'Waste by Jurisdiction'!P36</f>
        <v>0.54139829778951587</v>
      </c>
      <c r="F47" s="282">
        <f>'Waste by Jurisdiction'!P72/('Waste by Jurisdiction'!P72+'Waste by Jurisdiction'!P58)</f>
        <v>0.28015664618847458</v>
      </c>
      <c r="G47" s="282">
        <f>'Waste by Jurisdiction'!P66/('Waste by Jurisdiction'!P66+'Waste by Jurisdiction'!P50)</f>
        <v>0.75733390189250394</v>
      </c>
      <c r="H47" s="283">
        <f>'Waste by Jurisdiction'!P73/'Waste by Jurisdiction'!P74</f>
        <v>0.47913907284008728</v>
      </c>
    </row>
    <row r="48" spans="1:15" x14ac:dyDescent="0.25">
      <c r="A48" s="182"/>
      <c r="B48" s="278" t="s">
        <v>35</v>
      </c>
      <c r="C48" s="279">
        <f>'Waste by Jurisdiction'!Q34/('Waste by Jurisdiction'!Q34+'Waste by Jurisdiction'!Q20)</f>
        <v>0.1096396807266302</v>
      </c>
      <c r="D48" s="279">
        <f>'Waste by Jurisdiction'!Q28/('Waste by Jurisdiction'!Q28+'Waste by Jurisdiction'!Q13)</f>
        <v>0.70615850853283346</v>
      </c>
      <c r="E48" s="280">
        <f>'Waste by Jurisdiction'!Q35/'Waste by Jurisdiction'!Q36</f>
        <v>0.35386379894153824</v>
      </c>
      <c r="F48" s="279">
        <f>'Waste by Jurisdiction'!Q72/('Waste by Jurisdiction'!Q72+'Waste by Jurisdiction'!Q58)</f>
        <v>6.7708452324943269E-2</v>
      </c>
      <c r="G48" s="279">
        <f>'Waste by Jurisdiction'!Q66/('Waste by Jurisdiction'!Q66+'Waste by Jurisdiction'!Q50)</f>
        <v>0.68030149624990011</v>
      </c>
      <c r="H48" s="280">
        <f>'Waste by Jurisdiction'!Q73/'Waste by Jurisdiction'!Q74</f>
        <v>0.35488407342952755</v>
      </c>
    </row>
    <row r="49" spans="1:8" x14ac:dyDescent="0.25">
      <c r="A49" s="268"/>
      <c r="B49" s="286" t="s">
        <v>40</v>
      </c>
      <c r="C49" s="282">
        <f>'Waste by Jurisdiction'!R34/('Waste by Jurisdiction'!R34+'Waste by Jurisdiction'!R20)</f>
        <v>1.5834187882971622E-2</v>
      </c>
      <c r="D49" s="282">
        <f>'Waste by Jurisdiction'!R28/('Waste by Jurisdiction'!R28+'Waste by Jurisdiction'!R13)</f>
        <v>0.75548115568805174</v>
      </c>
      <c r="E49" s="283">
        <f>'Waste by Jurisdiction'!R35/'Waste by Jurisdiction'!R36</f>
        <v>0.66984928101748498</v>
      </c>
      <c r="F49" s="282">
        <f>'Waste by Jurisdiction'!R72/('Waste by Jurisdiction'!R72+'Waste by Jurisdiction'!R58)</f>
        <v>0.11099159173073461</v>
      </c>
      <c r="G49" s="282">
        <f>'Waste by Jurisdiction'!R66/('Waste by Jurisdiction'!R66+'Waste by Jurisdiction'!R50)</f>
        <v>0.57299085169477371</v>
      </c>
      <c r="H49" s="283">
        <f>'Waste by Jurisdiction'!R73/'Waste by Jurisdiction'!R74</f>
        <v>0.5064425141366159</v>
      </c>
    </row>
    <row r="50" spans="1:8" x14ac:dyDescent="0.25">
      <c r="A50" s="268"/>
      <c r="B50" s="284" t="s">
        <v>200</v>
      </c>
      <c r="C50" s="279">
        <f>'Waste by Jurisdiction'!S34/('Waste by Jurisdiction'!S34+'Waste by Jurisdiction'!S20)</f>
        <v>0.18303538223200075</v>
      </c>
      <c r="D50" s="279">
        <f>'Waste by Jurisdiction'!S28/('Waste by Jurisdiction'!S28+'Waste by Jurisdiction'!S13)</f>
        <v>0.74358342135813571</v>
      </c>
      <c r="E50" s="280">
        <f>'Waste by Jurisdiction'!S35/'Waste by Jurisdiction'!S36</f>
        <v>0.57032054803492893</v>
      </c>
      <c r="F50" s="279">
        <f>'Waste by Jurisdiction'!S72/('Waste by Jurisdiction'!S72+'Waste by Jurisdiction'!S58)</f>
        <v>0.15821220644593814</v>
      </c>
      <c r="G50" s="279">
        <f>'Waste by Jurisdiction'!S66/('Waste by Jurisdiction'!S66+'Waste by Jurisdiction'!S50)</f>
        <v>0.711518796796763</v>
      </c>
      <c r="H50" s="280">
        <f>'Waste by Jurisdiction'!S73/'Waste by Jurisdiction'!S74</f>
        <v>0.56150240131813256</v>
      </c>
    </row>
    <row r="51" spans="1:8" x14ac:dyDescent="0.25">
      <c r="B51" s="272" t="s">
        <v>5</v>
      </c>
      <c r="C51" s="274">
        <f>SUM(C38,C42,C44:C50)/COUNT(C38,C42,C44:C50)</f>
        <v>0.37201001008784779</v>
      </c>
      <c r="D51" s="273"/>
      <c r="E51" s="273"/>
      <c r="F51" s="274">
        <f>SUM(F38,F40:F42,,F44:F50)/COUNT(F38,F40:F42,F44:F50)</f>
        <v>0.25766097136784499</v>
      </c>
      <c r="G51" s="274">
        <f>SUM(G38,G40:G42,G44:G50)/COUNT(G38,G40:G42,G44:G50)</f>
        <v>0.72774681127190133</v>
      </c>
      <c r="H51" s="274">
        <f>'Waste by Jurisdiction'!T73/'Waste by Jurisdiction'!T74</f>
        <v>0.66420792987873678</v>
      </c>
    </row>
    <row r="52" spans="1:8" x14ac:dyDescent="0.25">
      <c r="B52" s="268"/>
    </row>
    <row r="53" spans="1:8" x14ac:dyDescent="0.25">
      <c r="C53" s="339" t="s">
        <v>244</v>
      </c>
      <c r="D53" s="340"/>
      <c r="E53" s="340"/>
      <c r="F53" s="341"/>
    </row>
    <row r="54" spans="1:8" ht="16.5" customHeight="1" x14ac:dyDescent="0.25">
      <c r="B54" s="183" t="s">
        <v>234</v>
      </c>
      <c r="C54" s="208" t="s">
        <v>242</v>
      </c>
      <c r="D54" s="208" t="s">
        <v>243</v>
      </c>
      <c r="E54" s="184" t="s">
        <v>238</v>
      </c>
      <c r="F54" s="211" t="s">
        <v>257</v>
      </c>
    </row>
    <row r="55" spans="1:8" x14ac:dyDescent="0.25">
      <c r="B55" s="181" t="s">
        <v>23</v>
      </c>
      <c r="C55" s="201">
        <f>'Waste by Jurisdiction'!G59</f>
        <v>6328.3276908522494</v>
      </c>
      <c r="D55" s="201">
        <f>'Waste by Jurisdiction'!G73</f>
        <v>12621.21</v>
      </c>
      <c r="E55" s="205">
        <f>'Waste by Jurisdiction'!G74</f>
        <v>18949.537690852248</v>
      </c>
      <c r="F55" s="180">
        <f>D55/E55</f>
        <v>0.66604316189163792</v>
      </c>
    </row>
    <row r="56" spans="1:8" x14ac:dyDescent="0.25">
      <c r="B56" s="185" t="s">
        <v>214</v>
      </c>
      <c r="C56" s="202">
        <f>'Waste by Jurisdiction'!H59</f>
        <v>11089.131456371921</v>
      </c>
      <c r="D56" s="202">
        <f>'Waste by Jurisdiction'!H73</f>
        <v>8080</v>
      </c>
      <c r="E56" s="209">
        <f>'Waste by Jurisdiction'!H74</f>
        <v>19169.131456371921</v>
      </c>
      <c r="F56" s="186">
        <f t="shared" ref="F56:F67" si="12">D56/E56</f>
        <v>0.42151101203462016</v>
      </c>
    </row>
    <row r="57" spans="1:8" x14ac:dyDescent="0.25">
      <c r="B57" s="181" t="s">
        <v>25</v>
      </c>
      <c r="C57" s="201">
        <f>'Waste by Jurisdiction'!I59</f>
        <v>3095.137125761531</v>
      </c>
      <c r="D57" s="201">
        <f>'Waste by Jurisdiction'!I73</f>
        <v>11905.91</v>
      </c>
      <c r="E57" s="205">
        <f>'Waste by Jurisdiction'!I74</f>
        <v>15001.047125761532</v>
      </c>
      <c r="F57" s="180">
        <f t="shared" si="12"/>
        <v>0.79367192837850598</v>
      </c>
    </row>
    <row r="58" spans="1:8" x14ac:dyDescent="0.25">
      <c r="B58" s="185" t="s">
        <v>204</v>
      </c>
      <c r="C58" s="202">
        <f>'Waste by Jurisdiction'!J59</f>
        <v>676.00200000000007</v>
      </c>
      <c r="D58" s="202">
        <f>'Waste by Jurisdiction'!J73</f>
        <v>4433.38</v>
      </c>
      <c r="E58" s="209">
        <f>'Waste by Jurisdiction'!J74</f>
        <v>5109.3820000000005</v>
      </c>
      <c r="F58" s="245">
        <f>D58/E58</f>
        <v>0.86769397942843174</v>
      </c>
    </row>
    <row r="59" spans="1:8" x14ac:dyDescent="0.25">
      <c r="B59" s="181" t="s">
        <v>28</v>
      </c>
      <c r="C59" s="201">
        <f>'Waste by Jurisdiction'!K59</f>
        <v>16526.952041568748</v>
      </c>
      <c r="D59" s="201">
        <f>'Waste by Jurisdiction'!K73</f>
        <v>9608.23</v>
      </c>
      <c r="E59" s="205">
        <f>'Waste by Jurisdiction'!K74</f>
        <v>26135.182041568747</v>
      </c>
      <c r="F59" s="180">
        <f t="shared" si="12"/>
        <v>0.367635855174754</v>
      </c>
    </row>
    <row r="60" spans="1:8" x14ac:dyDescent="0.25">
      <c r="B60" s="185" t="s">
        <v>24</v>
      </c>
      <c r="C60" s="203">
        <f>'Waste by Jurisdiction'!L59</f>
        <v>8413.7142537359887</v>
      </c>
      <c r="D60" s="203">
        <f>'Waste by Jurisdiction'!L73</f>
        <v>5687.61</v>
      </c>
      <c r="E60" s="209">
        <f>'Waste by Jurisdiction'!L74</f>
        <v>14101.324253735987</v>
      </c>
      <c r="F60" s="186">
        <f t="shared" si="12"/>
        <v>0.40333871469504939</v>
      </c>
    </row>
    <row r="61" spans="1:8" x14ac:dyDescent="0.25">
      <c r="B61" s="181" t="s">
        <v>30</v>
      </c>
      <c r="C61" s="201">
        <f>'Waste by Jurisdiction'!M59</f>
        <v>23044.330518163151</v>
      </c>
      <c r="D61" s="201">
        <f>'Waste by Jurisdiction'!M73</f>
        <v>10241</v>
      </c>
      <c r="E61" s="205">
        <f>'Waste by Jurisdiction'!M74</f>
        <v>33285.330518163151</v>
      </c>
      <c r="F61" s="180">
        <f t="shared" si="12"/>
        <v>0.30767307521286852</v>
      </c>
    </row>
    <row r="62" spans="1:8" x14ac:dyDescent="0.25">
      <c r="B62" s="185" t="s">
        <v>31</v>
      </c>
      <c r="C62" s="204">
        <f>'Waste by Jurisdiction'!N59</f>
        <v>9616.4428139656738</v>
      </c>
      <c r="D62" s="204">
        <f>'Waste by Jurisdiction'!N73</f>
        <v>24335</v>
      </c>
      <c r="E62" s="209">
        <f>'Waste by Jurisdiction'!N74</f>
        <v>33951.442813965674</v>
      </c>
      <c r="F62" s="186">
        <f t="shared" si="12"/>
        <v>0.71675893520466172</v>
      </c>
    </row>
    <row r="63" spans="1:8" x14ac:dyDescent="0.25">
      <c r="B63" s="181" t="s">
        <v>32</v>
      </c>
      <c r="C63" s="269">
        <f>'Waste by Jurisdiction'!O59</f>
        <v>75442.92</v>
      </c>
      <c r="D63" s="201">
        <f>'Waste by Jurisdiction'!O73</f>
        <v>316827</v>
      </c>
      <c r="E63" s="205">
        <f>'Waste by Jurisdiction'!O74</f>
        <v>392269.92</v>
      </c>
      <c r="F63" s="270">
        <f>D63/E63</f>
        <v>0.80767600023983488</v>
      </c>
    </row>
    <row r="64" spans="1:8" x14ac:dyDescent="0.25">
      <c r="B64" s="185" t="s">
        <v>33</v>
      </c>
      <c r="C64" s="204">
        <f>'Waste by Jurisdiction'!P59</f>
        <v>24098.501320705735</v>
      </c>
      <c r="D64" s="204">
        <f>'Waste by Jurisdiction'!P73</f>
        <v>22168.170000000002</v>
      </c>
      <c r="E64" s="209">
        <f>'Waste by Jurisdiction'!P74</f>
        <v>46266.671320705733</v>
      </c>
      <c r="F64" s="186">
        <f t="shared" si="12"/>
        <v>0.47913907284008728</v>
      </c>
    </row>
    <row r="65" spans="2:10" x14ac:dyDescent="0.25">
      <c r="B65" s="181" t="s">
        <v>35</v>
      </c>
      <c r="C65" s="201">
        <f>'Waste by Jurisdiction'!Q59</f>
        <v>35674.748479406218</v>
      </c>
      <c r="D65" s="201">
        <f>'Waste by Jurisdiction'!Q73</f>
        <v>19625</v>
      </c>
      <c r="E65" s="205">
        <f>'Waste by Jurisdiction'!Q74</f>
        <v>55299.748479406218</v>
      </c>
      <c r="F65" s="180">
        <f t="shared" si="12"/>
        <v>0.35488407342952755</v>
      </c>
    </row>
    <row r="66" spans="2:10" x14ac:dyDescent="0.25">
      <c r="B66" s="185" t="s">
        <v>40</v>
      </c>
      <c r="C66" s="204">
        <f>'Waste by Jurisdiction'!R60</f>
        <v>24014.39</v>
      </c>
      <c r="D66" s="204">
        <f>'Waste by Jurisdiction'!R73</f>
        <v>9772.0399999999991</v>
      </c>
      <c r="E66" s="209">
        <f>'Waste by Jurisdiction'!R74</f>
        <v>19295.457484763872</v>
      </c>
      <c r="F66" s="186">
        <f t="shared" si="12"/>
        <v>0.5064425141366159</v>
      </c>
    </row>
    <row r="67" spans="2:10" x14ac:dyDescent="0.25">
      <c r="B67" s="181" t="s">
        <v>200</v>
      </c>
      <c r="C67" s="201">
        <f>'Waste by Jurisdiction'!S59</f>
        <v>18860.392192277868</v>
      </c>
      <c r="D67" s="201">
        <f>'Waste by Jurisdiction'!S73</f>
        <v>24151</v>
      </c>
      <c r="E67" s="205">
        <f>'Waste by Jurisdiction'!S74</f>
        <v>43011.392192277868</v>
      </c>
      <c r="F67" s="180">
        <f t="shared" si="12"/>
        <v>0.56150240131813256</v>
      </c>
    </row>
    <row r="68" spans="2:10" x14ac:dyDescent="0.25">
      <c r="B68" s="206" t="s">
        <v>5</v>
      </c>
      <c r="C68" s="207">
        <f>'Waste by Jurisdiction'!T59</f>
        <v>242390.01737757295</v>
      </c>
      <c r="D68" s="207">
        <f>'Waste by Jurisdiction'!T73</f>
        <v>479455.54999999993</v>
      </c>
      <c r="E68" s="210">
        <f>'Waste by Jurisdiction'!T74</f>
        <v>721845.56737757288</v>
      </c>
      <c r="F68" s="212">
        <f>D68/E68</f>
        <v>0.66420792987873678</v>
      </c>
    </row>
    <row r="70" spans="2:10" ht="30" x14ac:dyDescent="0.25">
      <c r="B70" s="195"/>
      <c r="C70" s="200" t="s">
        <v>241</v>
      </c>
      <c r="D70" s="195" t="s">
        <v>237</v>
      </c>
    </row>
    <row r="71" spans="2:10" x14ac:dyDescent="0.25">
      <c r="B71" s="198" t="s">
        <v>239</v>
      </c>
      <c r="C71" s="197" t="s">
        <v>225</v>
      </c>
      <c r="D71" s="196" t="s">
        <v>225</v>
      </c>
    </row>
    <row r="72" spans="2:10" x14ac:dyDescent="0.25">
      <c r="B72" s="199" t="s">
        <v>240</v>
      </c>
      <c r="C72" s="168">
        <v>215000</v>
      </c>
      <c r="D72" s="193">
        <f>C6</f>
        <v>212253.69135049323</v>
      </c>
    </row>
    <row r="73" spans="2:10" x14ac:dyDescent="0.25">
      <c r="B73" s="188" t="s">
        <v>166</v>
      </c>
      <c r="C73" s="256">
        <v>364000</v>
      </c>
      <c r="D73" s="257">
        <f>C5</f>
        <v>495824.26602707966</v>
      </c>
    </row>
    <row r="74" spans="2:10" x14ac:dyDescent="0.25">
      <c r="B74" s="187" t="s">
        <v>48</v>
      </c>
      <c r="C74" s="168">
        <f>SUM(C72:C73)</f>
        <v>579000</v>
      </c>
      <c r="D74" s="194">
        <f>C4</f>
        <v>721845.56737757288</v>
      </c>
    </row>
    <row r="77" spans="2:10" x14ac:dyDescent="0.25">
      <c r="C77" s="339" t="s">
        <v>251</v>
      </c>
      <c r="D77" s="340"/>
      <c r="E77" s="340"/>
      <c r="F77" s="341"/>
      <c r="G77" s="339" t="s">
        <v>252</v>
      </c>
      <c r="H77" s="340"/>
      <c r="I77" s="340"/>
      <c r="J77" s="341"/>
    </row>
    <row r="78" spans="2:10" x14ac:dyDescent="0.25">
      <c r="B78" s="183" t="s">
        <v>234</v>
      </c>
      <c r="C78" s="335" t="s">
        <v>2</v>
      </c>
      <c r="D78" s="336"/>
      <c r="E78" s="335" t="s">
        <v>186</v>
      </c>
      <c r="F78" s="336"/>
      <c r="G78" s="335" t="s">
        <v>2</v>
      </c>
      <c r="H78" s="336"/>
      <c r="I78" s="335" t="s">
        <v>186</v>
      </c>
      <c r="J78" s="336"/>
    </row>
    <row r="79" spans="2:10" x14ac:dyDescent="0.25">
      <c r="B79" s="232"/>
      <c r="C79" s="234" t="s">
        <v>225</v>
      </c>
      <c r="D79" s="234" t="s">
        <v>235</v>
      </c>
      <c r="E79" s="234" t="s">
        <v>253</v>
      </c>
      <c r="F79" s="234" t="s">
        <v>235</v>
      </c>
      <c r="G79" s="234" t="s">
        <v>225</v>
      </c>
      <c r="H79" s="234" t="s">
        <v>235</v>
      </c>
      <c r="I79" s="234" t="s">
        <v>225</v>
      </c>
      <c r="J79" s="233" t="s">
        <v>235</v>
      </c>
    </row>
    <row r="80" spans="2:10" x14ac:dyDescent="0.25">
      <c r="B80" s="181" t="s">
        <v>23</v>
      </c>
      <c r="C80" s="235">
        <f>'Waste by Jurisdiction'!G20+'Waste by Jurisdiction'!G34</f>
        <v>9277.6991804837926</v>
      </c>
      <c r="D80" s="218">
        <f>'Waste by Jurisdiction'!G34/Summary!C80</f>
        <v>0.74542511731226113</v>
      </c>
      <c r="E80" s="235">
        <f>'Waste by Jurisdiction'!G13+'Waste by Jurisdiction'!G28</f>
        <v>11262.328310580022</v>
      </c>
      <c r="F80" s="219">
        <f>'Waste by Jurisdiction'!G28/Summary!E80</f>
        <v>0.64946428467448003</v>
      </c>
      <c r="G80" s="235">
        <f>'Waste by Jurisdiction'!G58+'Waste by Jurisdiction'!G72</f>
        <v>7649.5341526455031</v>
      </c>
      <c r="H80" s="218">
        <f>'Waste by Jurisdiction'!G72/Summary!G80</f>
        <v>0.67329720963711104</v>
      </c>
      <c r="I80" s="235">
        <f>'Waste by Jurisdiction'!G50+'Waste by Jurisdiction'!G66</f>
        <v>11300.003538206745</v>
      </c>
      <c r="J80" s="219">
        <f>'Waste by Jurisdiction'!G66/Summary!I80</f>
        <v>0.66113253635189373</v>
      </c>
    </row>
    <row r="81" spans="2:10" x14ac:dyDescent="0.25">
      <c r="B81" s="185" t="s">
        <v>214</v>
      </c>
      <c r="C81" s="202" t="s">
        <v>236</v>
      </c>
      <c r="D81" s="220" t="s">
        <v>236</v>
      </c>
      <c r="E81" s="202" t="s">
        <v>236</v>
      </c>
      <c r="F81" s="245" t="s">
        <v>236</v>
      </c>
      <c r="G81" s="236" t="s">
        <v>236</v>
      </c>
      <c r="H81" s="220" t="s">
        <v>236</v>
      </c>
      <c r="I81" s="202" t="s">
        <v>236</v>
      </c>
      <c r="J81" s="245" t="s">
        <v>236</v>
      </c>
    </row>
    <row r="82" spans="2:10" x14ac:dyDescent="0.25">
      <c r="B82" s="181" t="s">
        <v>25</v>
      </c>
      <c r="C82" s="269" t="s">
        <v>236</v>
      </c>
      <c r="D82" s="218">
        <f>'Waste by Jurisdiction'!I71/('Waste by Jurisdiction'!I71+'Waste by Jurisdiction'!I55)</f>
        <v>0</v>
      </c>
      <c r="E82" s="235">
        <f>'Waste by Jurisdiction'!I13+'Waste by Jurisdiction'!I28</f>
        <v>16117.179699149705</v>
      </c>
      <c r="F82" s="246">
        <f>'Waste by Jurisdiction'!I28/Summary!E82</f>
        <v>0.8945454644748192</v>
      </c>
      <c r="G82" s="235">
        <f>'Waste by Jurisdiction'!I58+'Waste by Jurisdiction'!I72</f>
        <v>1446.6256254297075</v>
      </c>
      <c r="H82" s="218">
        <f>'Waste by Jurisdiction'!I72/Summary!G82</f>
        <v>8.4493180440995339E-2</v>
      </c>
      <c r="I82" s="235">
        <f>'Waste by Jurisdiction'!I50+'Waste by Jurisdiction'!I66</f>
        <v>13554.421500331824</v>
      </c>
      <c r="J82" s="246">
        <f>'Waste by Jurisdiction'!I66/Summary!I82</f>
        <v>0.86936059939640553</v>
      </c>
    </row>
    <row r="83" spans="2:10" x14ac:dyDescent="0.25">
      <c r="B83" s="185" t="s">
        <v>204</v>
      </c>
      <c r="C83" s="202" t="s">
        <v>236</v>
      </c>
      <c r="D83" s="220" t="s">
        <v>236</v>
      </c>
      <c r="E83" s="202">
        <f>'Waste by Jurisdiction'!J28</f>
        <v>5547.96</v>
      </c>
      <c r="F83" s="245">
        <f>'Waste by Jurisdiction'!J28/'Waste by Jurisdiction'!J36</f>
        <v>0.97087171363767844</v>
      </c>
      <c r="G83" s="236" t="s">
        <v>236</v>
      </c>
      <c r="H83" s="220" t="s">
        <v>236</v>
      </c>
      <c r="I83" s="202">
        <f>'Waste by Jurisdiction'!J66</f>
        <v>4433.38</v>
      </c>
      <c r="J83" s="245">
        <f>'Waste by Jurisdiction'!J73/'Waste by Jurisdiction'!J74</f>
        <v>0.86769397942843174</v>
      </c>
    </row>
    <row r="84" spans="2:10" x14ac:dyDescent="0.25">
      <c r="B84" s="181" t="s">
        <v>28</v>
      </c>
      <c r="C84" s="235">
        <f>'Waste by Jurisdiction'!K20+'Waste by Jurisdiction'!K34</f>
        <v>16582.893170049127</v>
      </c>
      <c r="D84" s="218">
        <f>'Waste by Jurisdiction'!K34/Summary!C84</f>
        <v>0.13959928320476192</v>
      </c>
      <c r="E84" s="235">
        <f>'Waste by Jurisdiction'!K13+'Waste by Jurisdiction'!K28</f>
        <v>11909.155041241314</v>
      </c>
      <c r="F84" s="246">
        <f>'Waste by Jurisdiction'!K28/Summary!E84</f>
        <v>0.70658917201592664</v>
      </c>
      <c r="G84" s="235">
        <f>'Waste by Jurisdiction'!K58+'Waste by Jurisdiction'!K72</f>
        <v>14166.4313725547</v>
      </c>
      <c r="H84" s="218">
        <f>'Waste by Jurisdiction'!K72/Summary!G84</f>
        <v>0.11455743209571205</v>
      </c>
      <c r="I84" s="235">
        <f>'Waste by Jurisdiction'!K50+'Waste by Jurisdiction'!K66</f>
        <v>11968.750669014047</v>
      </c>
      <c r="J84" s="246">
        <f>'Waste by Jurisdiction'!K66/Summary!I84</f>
        <v>0.66718408803295859</v>
      </c>
    </row>
    <row r="85" spans="2:10" x14ac:dyDescent="0.25">
      <c r="B85" s="188" t="s">
        <v>24</v>
      </c>
      <c r="C85" s="203" t="s">
        <v>236</v>
      </c>
      <c r="D85" s="223" t="s">
        <v>236</v>
      </c>
      <c r="E85" s="203" t="s">
        <v>236</v>
      </c>
      <c r="F85" s="245" t="s">
        <v>236</v>
      </c>
      <c r="G85" s="237" t="s">
        <v>236</v>
      </c>
      <c r="H85" s="223" t="s">
        <v>236</v>
      </c>
      <c r="I85" s="203" t="s">
        <v>236</v>
      </c>
      <c r="J85" s="245" t="s">
        <v>236</v>
      </c>
    </row>
    <row r="86" spans="2:10" x14ac:dyDescent="0.25">
      <c r="B86" s="181" t="s">
        <v>30</v>
      </c>
      <c r="C86" s="235">
        <f>'Waste by Jurisdiction'!M20+'Waste by Jurisdiction'!M34</f>
        <v>15264.418873453737</v>
      </c>
      <c r="D86" s="218">
        <f>'Waste by Jurisdiction'!M34/Summary!C86</f>
        <v>0.14196413358183044</v>
      </c>
      <c r="E86" s="235">
        <f>'Waste by Jurisdiction'!M13+'Waste by Jurisdiction'!M28</f>
        <v>14143.846181836299</v>
      </c>
      <c r="F86" s="222">
        <f>'Waste by Jurisdiction'!M28/Summary!E86</f>
        <v>0.57975743617252717</v>
      </c>
      <c r="G86" s="235">
        <f>'Waste by Jurisdiction'!M58+'Waste by Jurisdiction'!M72</f>
        <v>16698.942646125975</v>
      </c>
      <c r="H86" s="218">
        <f>'Waste by Jurisdiction'!M72/Summary!G86</f>
        <v>0.15318335143772926</v>
      </c>
      <c r="I86" s="235">
        <f>'Waste by Jurisdiction'!M50+'Waste by Jurisdiction'!M66</f>
        <v>16586.387872037176</v>
      </c>
      <c r="J86" s="222">
        <f>'Waste by Jurisdiction'!M66/Summary!I86</f>
        <v>0.46321116202477647</v>
      </c>
    </row>
    <row r="87" spans="2:10" x14ac:dyDescent="0.25">
      <c r="B87" s="185" t="s">
        <v>31</v>
      </c>
      <c r="C87" s="238">
        <f>'Waste by Jurisdiction'!N20+'Waste by Jurisdiction'!N34</f>
        <v>24121.538867398212</v>
      </c>
      <c r="D87" s="224">
        <f>'Waste by Jurisdiction'!N34/Summary!C87</f>
        <v>0.65302632997805232</v>
      </c>
      <c r="E87" s="238">
        <f>'Waste by Jurisdiction'!N13+'Waste by Jurisdiction'!N28</f>
        <v>17702.289558517532</v>
      </c>
      <c r="F87" s="221">
        <f>'Waste by Jurisdiction'!N28/Summary!E87</f>
        <v>0.84542736410042763</v>
      </c>
      <c r="G87" s="238">
        <f>'Waste by Jurisdiction'!N58+'Waste by Jurisdiction'!N72</f>
        <v>16325.690704951285</v>
      </c>
      <c r="H87" s="224">
        <f>'Waste by Jurisdiction'!N72/Summary!G87</f>
        <v>0.58570263107459331</v>
      </c>
      <c r="I87" s="238">
        <f>'Waste by Jurisdiction'!N50+'Waste by Jurisdiction'!N66</f>
        <v>17625.752109014389</v>
      </c>
      <c r="J87" s="221">
        <f>'Waste by Jurisdiction'!N66/Summary!I87</f>
        <v>0.83814863097073755</v>
      </c>
    </row>
    <row r="88" spans="2:10" x14ac:dyDescent="0.25">
      <c r="B88" s="181" t="s">
        <v>32</v>
      </c>
      <c r="C88" s="201">
        <f>'Waste by Jurisdiction'!O34</f>
        <v>48605</v>
      </c>
      <c r="D88" s="267">
        <f>'Waste by Jurisdiction'!O34/('Waste by Jurisdiction'!O34+'Waste by Jurisdiction'!O20)</f>
        <v>0.96068703798869426</v>
      </c>
      <c r="E88" s="201">
        <f>'Waste by Jurisdiction'!O28</f>
        <v>313373</v>
      </c>
      <c r="F88" s="270">
        <f>'Waste by Jurisdiction'!O28/('Waste by Jurisdiction'!O28+'Waste by Jurisdiction'!O13)</f>
        <v>0.95060320272283005</v>
      </c>
      <c r="G88" s="201">
        <f>'Waste by Jurisdiction'!O72</f>
        <v>26137</v>
      </c>
      <c r="H88" s="267">
        <f>'Waste by Jurisdiction'!O72/('Waste by Jurisdiction'!O72+'Waste by Jurisdiction'!O58)</f>
        <v>0.34830701230221917</v>
      </c>
      <c r="I88" s="201">
        <f>'Waste by Jurisdiction'!O66</f>
        <v>290690</v>
      </c>
      <c r="J88" s="270">
        <f>'Waste by Jurisdiction'!O66/('Waste by Jurisdiction'!O66+'Waste by Jurisdiction'!O50)</f>
        <v>0.91633888115177076</v>
      </c>
    </row>
    <row r="89" spans="2:10" x14ac:dyDescent="0.25">
      <c r="B89" s="185" t="s">
        <v>33</v>
      </c>
      <c r="C89" s="238">
        <f>'Waste by Jurisdiction'!P20+'Waste by Jurisdiction'!P34</f>
        <v>12560.201916362341</v>
      </c>
      <c r="D89" s="224">
        <f>'Waste by Jurisdiction'!P34/Summary!C89</f>
        <v>0.39887893788342743</v>
      </c>
      <c r="E89" s="238">
        <f>'Waste by Jurisdiction'!P13+'Waste by Jurisdiction'!P28</f>
        <v>16644.599917253967</v>
      </c>
      <c r="F89" s="221">
        <f>'Waste by Jurisdiction'!P28/Summary!E89</f>
        <v>0.6489450064103448</v>
      </c>
      <c r="G89" s="238">
        <f>'Waste by Jurisdiction'!P58+'Waste by Jurisdiction'!P72</f>
        <v>26973.516790732061</v>
      </c>
      <c r="H89" s="224">
        <f>'Waste by Jurisdiction'!P72/Summary!G89</f>
        <v>0.28015664618847458</v>
      </c>
      <c r="I89" s="238">
        <f>'Waste by Jurisdiction'!P50+'Waste by Jurisdiction'!P66</f>
        <v>19293.154529973675</v>
      </c>
      <c r="J89" s="221">
        <f>'Waste by Jurisdiction'!P66/Summary!I89</f>
        <v>0.75733390189250394</v>
      </c>
    </row>
    <row r="90" spans="2:10" x14ac:dyDescent="0.25">
      <c r="B90" s="181" t="s">
        <v>35</v>
      </c>
      <c r="C90" s="235">
        <f>'Waste by Jurisdiction'!Q20+'Waste by Jurisdiction'!Q34</f>
        <v>37604.998233076498</v>
      </c>
      <c r="D90" s="218">
        <f>'Waste by Jurisdiction'!Q34/Summary!C90</f>
        <v>0.1096396807266302</v>
      </c>
      <c r="E90" s="235">
        <f>'Waste by Jurisdiction'!Q13+'Waste by Jurisdiction'!Q28</f>
        <v>26069.217856268395</v>
      </c>
      <c r="F90" s="222">
        <f>'Waste by Jurisdiction'!Q28/Summary!E90</f>
        <v>0.70615850853283346</v>
      </c>
      <c r="G90" s="235">
        <f>'Waste by Jurisdiction'!Q58+'Waste by Jurisdiction'!Q72</f>
        <v>29375.948374281001</v>
      </c>
      <c r="H90" s="218">
        <f>'Waste by Jurisdiction'!Q72/Summary!G90</f>
        <v>6.7708452324943269E-2</v>
      </c>
      <c r="I90" s="235">
        <f>'Waste by Jurisdiction'!Q50+'Waste by Jurisdiction'!Q66</f>
        <v>25923.800105125214</v>
      </c>
      <c r="J90" s="222">
        <f>'Waste by Jurisdiction'!Q66/Summary!I90</f>
        <v>0.68030149624990011</v>
      </c>
    </row>
    <row r="91" spans="2:10" x14ac:dyDescent="0.25">
      <c r="B91" s="185" t="s">
        <v>40</v>
      </c>
      <c r="C91" s="238">
        <f>'Waste by Jurisdiction'!R20+'Waste by Jurisdiction'!R34</f>
        <v>2686.5918425629079</v>
      </c>
      <c r="D91" s="224">
        <f>'Waste by Jurisdiction'!R34/Summary!C91</f>
        <v>1.5834187882971622E-2</v>
      </c>
      <c r="E91" s="238">
        <f>'Waste by Jurisdiction'!R13+'Waste by Jurisdiction'!R28</f>
        <v>20518.89697484504</v>
      </c>
      <c r="F91" s="221">
        <f>'Waste by Jurisdiction'!R28/Summary!E91</f>
        <v>0.75548115568805174</v>
      </c>
      <c r="G91" s="238">
        <f>'Waste by Jurisdiction'!R58+'Waste by Jurisdiction'!R72</f>
        <v>2779.3997292010745</v>
      </c>
      <c r="H91" s="224">
        <f>'Waste by Jurisdiction'!R72/Summary!G91</f>
        <v>0.11099159173073461</v>
      </c>
      <c r="I91" s="238">
        <f>'Waste by Jurisdiction'!R50+'Waste by Jurisdiction'!R66</f>
        <v>16516.057755562797</v>
      </c>
      <c r="J91" s="221">
        <f>'Waste by Jurisdiction'!R66/Summary!I91</f>
        <v>0.57299085169477371</v>
      </c>
    </row>
    <row r="92" spans="2:10" x14ac:dyDescent="0.25">
      <c r="B92" s="181" t="s">
        <v>200</v>
      </c>
      <c r="C92" s="235">
        <f>'Waste by Jurisdiction'!S20+'Waste by Jurisdiction'!S34</f>
        <v>14079.245054016959</v>
      </c>
      <c r="D92" s="218">
        <f>'Waste by Jurisdiction'!S34/Summary!C92</f>
        <v>0.18303538223200075</v>
      </c>
      <c r="E92" s="235">
        <f>'Waste by Jurisdiction'!S13+'Waste by Jurisdiction'!S28</f>
        <v>31470.577917483264</v>
      </c>
      <c r="F92" s="222">
        <f>'Waste by Jurisdiction'!S28/Summary!E92</f>
        <v>0.74358342135813571</v>
      </c>
      <c r="G92" s="235">
        <f>'Waste by Jurisdiction'!S58+'Waste by Jurisdiction'!S72</f>
        <v>11661.552805854113</v>
      </c>
      <c r="H92" s="218">
        <f>'Waste by Jurisdiction'!S72/Summary!G92</f>
        <v>0.15821220644593814</v>
      </c>
      <c r="I92" s="235">
        <f>'Waste by Jurisdiction'!S50+'Waste by Jurisdiction'!S66</f>
        <v>31349.839386423751</v>
      </c>
      <c r="J92" s="222">
        <f>'Waste by Jurisdiction'!S66/Summary!I92</f>
        <v>0.711518796796763</v>
      </c>
    </row>
    <row r="93" spans="2:10" x14ac:dyDescent="0.25">
      <c r="B93" s="241" t="s">
        <v>5</v>
      </c>
      <c r="C93" s="242">
        <f>'Waste by Jurisdiction'!T20+'Waste by Jurisdiction'!T34</f>
        <v>193339.02446743805</v>
      </c>
      <c r="D93" s="243">
        <f>'Waste by Jurisdiction'!T34/Summary!C93</f>
        <v>0.45261079723063302</v>
      </c>
      <c r="E93" s="242">
        <f>'Waste by Jurisdiction'!T13+'Waste by Jurisdiction'!T28</f>
        <v>509366.52401722455</v>
      </c>
      <c r="F93" s="244">
        <f>'Waste by Jurisdiction'!T28/Summary!E93</f>
        <v>0.864499175421095</v>
      </c>
      <c r="G93" s="242">
        <f>'Waste by Jurisdiction'!T58+'Waste by Jurisdiction'!T72</f>
        <v>212253.69135049323</v>
      </c>
      <c r="H93" s="243">
        <f>'Waste by Jurisdiction'!T72/Summary!G93</f>
        <v>0.26784839235667729</v>
      </c>
      <c r="I93" s="242">
        <f>'Waste by Jurisdiction'!T50+'Waste by Jurisdiction'!T66</f>
        <v>495824.26602707966</v>
      </c>
      <c r="J93" s="244">
        <f>'Waste by Jurisdiction'!T66/('Waste by Jurisdiction'!T66+'Waste by Jurisdiction'!T50)</f>
        <v>0.82455853416756975</v>
      </c>
    </row>
    <row r="95" spans="2:10" x14ac:dyDescent="0.25">
      <c r="E95" s="239"/>
    </row>
  </sheetData>
  <sortState ref="K15:O20">
    <sortCondition ref="K15:K20"/>
  </sortState>
  <mergeCells count="10">
    <mergeCell ref="C78:D78"/>
    <mergeCell ref="E78:F78"/>
    <mergeCell ref="G78:H78"/>
    <mergeCell ref="I78:J78"/>
    <mergeCell ref="B7:E7"/>
    <mergeCell ref="C36:E36"/>
    <mergeCell ref="F36:H36"/>
    <mergeCell ref="C53:F53"/>
    <mergeCell ref="C77:F77"/>
    <mergeCell ref="G77:J77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5" sqref="H5"/>
    </sheetView>
  </sheetViews>
  <sheetFormatPr defaultRowHeight="15" x14ac:dyDescent="0.25"/>
  <cols>
    <col min="1" max="1" width="12.7109375" customWidth="1"/>
    <col min="2" max="2" width="19.7109375" customWidth="1"/>
    <col min="3" max="3" width="14.5703125" customWidth="1"/>
    <col min="5" max="5" width="13.85546875" bestFit="1" customWidth="1"/>
  </cols>
  <sheetData>
    <row r="1" spans="1:8" x14ac:dyDescent="0.25">
      <c r="A1" t="s">
        <v>181</v>
      </c>
    </row>
    <row r="2" spans="1:8" x14ac:dyDescent="0.25">
      <c r="A2" s="64" t="s">
        <v>182</v>
      </c>
    </row>
    <row r="3" spans="1:8" x14ac:dyDescent="0.25">
      <c r="A3" s="57" t="s">
        <v>13</v>
      </c>
      <c r="B3" s="57" t="s">
        <v>179</v>
      </c>
      <c r="C3" s="57" t="s">
        <v>180</v>
      </c>
      <c r="E3" s="57"/>
    </row>
    <row r="4" spans="1:8" x14ac:dyDescent="0.25">
      <c r="A4">
        <v>2010</v>
      </c>
      <c r="B4" s="65">
        <v>1791215</v>
      </c>
      <c r="E4" s="117"/>
    </row>
    <row r="5" spans="1:8" x14ac:dyDescent="0.25">
      <c r="A5">
        <v>2011</v>
      </c>
      <c r="B5" s="65">
        <v>1817135</v>
      </c>
      <c r="C5" s="66">
        <f>(B5-B4)/B4</f>
        <v>1.4470624687711972E-2</v>
      </c>
      <c r="E5" t="s">
        <v>254</v>
      </c>
      <c r="H5" s="118">
        <f>(B19-B15)/B19</f>
        <v>2.7637217331533855E-2</v>
      </c>
    </row>
    <row r="6" spans="1:8" x14ac:dyDescent="0.25">
      <c r="A6">
        <v>2012</v>
      </c>
      <c r="B6" s="34">
        <v>1845959</v>
      </c>
      <c r="C6" s="66">
        <f>(B6-B5)/B5</f>
        <v>1.5862332738073946E-2</v>
      </c>
    </row>
    <row r="7" spans="1:8" x14ac:dyDescent="0.25">
      <c r="A7">
        <v>2013</v>
      </c>
      <c r="B7" s="34">
        <v>1872615</v>
      </c>
      <c r="C7" s="66">
        <f t="shared" ref="C7:C35" si="0">(B7-B6)/B6</f>
        <v>1.4440190708461023E-2</v>
      </c>
    </row>
    <row r="8" spans="1:8" x14ac:dyDescent="0.25">
      <c r="A8">
        <v>2014</v>
      </c>
      <c r="B8" s="34">
        <v>1897429</v>
      </c>
      <c r="C8" s="66">
        <f t="shared" si="0"/>
        <v>1.3250988590820858E-2</v>
      </c>
    </row>
    <row r="9" spans="1:8" x14ac:dyDescent="0.25">
      <c r="A9">
        <v>2015</v>
      </c>
      <c r="B9" s="34">
        <v>1924097</v>
      </c>
      <c r="C9" s="66">
        <f t="shared" si="0"/>
        <v>1.4054807847882583E-2</v>
      </c>
    </row>
    <row r="10" spans="1:8" x14ac:dyDescent="0.25">
      <c r="A10">
        <v>2016</v>
      </c>
      <c r="B10" s="34">
        <v>1939104</v>
      </c>
      <c r="C10" s="66">
        <f t="shared" si="0"/>
        <v>7.7995028317179435E-3</v>
      </c>
    </row>
    <row r="11" spans="1:8" x14ac:dyDescent="0.25">
      <c r="A11">
        <v>2017</v>
      </c>
      <c r="B11" s="34">
        <v>1949735</v>
      </c>
      <c r="C11" s="66">
        <f t="shared" si="0"/>
        <v>5.4824289981352213E-3</v>
      </c>
    </row>
    <row r="12" spans="1:8" x14ac:dyDescent="0.25">
      <c r="A12">
        <v>2018</v>
      </c>
      <c r="B12" s="34">
        <v>1958640</v>
      </c>
      <c r="C12" s="66">
        <f t="shared" si="0"/>
        <v>4.5672873493064446E-3</v>
      </c>
    </row>
    <row r="13" spans="1:8" x14ac:dyDescent="0.25">
      <c r="A13">
        <v>2019</v>
      </c>
      <c r="B13" s="34">
        <v>1960932</v>
      </c>
      <c r="C13" s="66">
        <f t="shared" si="0"/>
        <v>1.170199730425193E-3</v>
      </c>
    </row>
    <row r="14" spans="1:8" x14ac:dyDescent="0.25">
      <c r="A14">
        <v>2020</v>
      </c>
      <c r="B14" s="34">
        <v>1962251</v>
      </c>
      <c r="C14" s="66">
        <f t="shared" si="0"/>
        <v>6.7263933680515185E-4</v>
      </c>
    </row>
    <row r="15" spans="1:8" x14ac:dyDescent="0.25">
      <c r="A15">
        <v>2021</v>
      </c>
      <c r="B15" s="34">
        <v>1974827</v>
      </c>
      <c r="C15" s="66">
        <f t="shared" si="0"/>
        <v>6.4089660293204084E-3</v>
      </c>
    </row>
    <row r="16" spans="1:8" x14ac:dyDescent="0.25">
      <c r="A16">
        <v>2022</v>
      </c>
      <c r="B16" s="34">
        <v>1987898</v>
      </c>
      <c r="C16" s="66">
        <f t="shared" si="0"/>
        <v>6.6188076221360146E-3</v>
      </c>
    </row>
    <row r="17" spans="1:3" x14ac:dyDescent="0.25">
      <c r="A17">
        <v>2023</v>
      </c>
      <c r="B17" s="34">
        <v>2001338</v>
      </c>
      <c r="C17" s="66">
        <f t="shared" si="0"/>
        <v>6.7609102680318608E-3</v>
      </c>
    </row>
    <row r="18" spans="1:3" x14ac:dyDescent="0.25">
      <c r="A18">
        <v>2024</v>
      </c>
      <c r="B18" s="34">
        <v>2015833</v>
      </c>
      <c r="C18" s="66">
        <f t="shared" si="0"/>
        <v>7.2426546640297637E-3</v>
      </c>
    </row>
    <row r="19" spans="1:3" x14ac:dyDescent="0.25">
      <c r="A19">
        <v>2025</v>
      </c>
      <c r="B19" s="34">
        <v>2030957</v>
      </c>
      <c r="C19" s="66">
        <f t="shared" si="0"/>
        <v>7.5026056225887755E-3</v>
      </c>
    </row>
    <row r="20" spans="1:3" x14ac:dyDescent="0.25">
      <c r="A20">
        <v>2026</v>
      </c>
      <c r="B20" s="34">
        <v>2045458</v>
      </c>
      <c r="C20" s="66">
        <f t="shared" si="0"/>
        <v>7.1399837613499448E-3</v>
      </c>
    </row>
    <row r="21" spans="1:3" x14ac:dyDescent="0.25">
      <c r="A21">
        <v>2027</v>
      </c>
      <c r="B21" s="34">
        <v>2060348</v>
      </c>
      <c r="C21" s="66">
        <f t="shared" si="0"/>
        <v>7.2795432612158253E-3</v>
      </c>
    </row>
    <row r="22" spans="1:3" x14ac:dyDescent="0.25">
      <c r="A22">
        <v>2028</v>
      </c>
      <c r="B22" s="34">
        <v>2075273</v>
      </c>
      <c r="C22" s="66">
        <f t="shared" si="0"/>
        <v>7.2439219005721363E-3</v>
      </c>
    </row>
    <row r="23" spans="1:3" x14ac:dyDescent="0.25">
      <c r="A23">
        <v>2029</v>
      </c>
      <c r="B23" s="34">
        <v>2090542</v>
      </c>
      <c r="C23" s="66">
        <f t="shared" si="0"/>
        <v>7.3575862067303916E-3</v>
      </c>
    </row>
    <row r="24" spans="1:3" x14ac:dyDescent="0.25">
      <c r="A24">
        <v>2030</v>
      </c>
      <c r="B24" s="34">
        <v>2105066</v>
      </c>
      <c r="C24" s="66">
        <f t="shared" si="0"/>
        <v>6.9474806055080454E-3</v>
      </c>
    </row>
    <row r="25" spans="1:3" x14ac:dyDescent="0.25">
      <c r="A25">
        <v>2031</v>
      </c>
      <c r="B25" s="34">
        <v>2119554</v>
      </c>
      <c r="C25" s="66">
        <f t="shared" si="0"/>
        <v>6.8824445409312578E-3</v>
      </c>
    </row>
    <row r="26" spans="1:3" x14ac:dyDescent="0.25">
      <c r="A26">
        <v>2032</v>
      </c>
      <c r="B26" s="34">
        <v>2134383</v>
      </c>
      <c r="C26" s="66">
        <f t="shared" si="0"/>
        <v>6.9962831803294465E-3</v>
      </c>
    </row>
    <row r="27" spans="1:3" x14ac:dyDescent="0.25">
      <c r="A27">
        <v>2033</v>
      </c>
      <c r="B27" s="34">
        <v>2148607</v>
      </c>
      <c r="C27" s="66">
        <f t="shared" si="0"/>
        <v>6.6642209950135475E-3</v>
      </c>
    </row>
    <row r="28" spans="1:3" x14ac:dyDescent="0.25">
      <c r="A28">
        <v>2034</v>
      </c>
      <c r="B28" s="34">
        <v>2162384</v>
      </c>
      <c r="C28" s="66">
        <f t="shared" si="0"/>
        <v>6.4120613960580043E-3</v>
      </c>
    </row>
    <row r="29" spans="1:3" x14ac:dyDescent="0.25">
      <c r="A29">
        <v>2035</v>
      </c>
      <c r="B29" s="34">
        <v>2175951</v>
      </c>
      <c r="C29" s="66">
        <f t="shared" si="0"/>
        <v>6.2740937779783793E-3</v>
      </c>
    </row>
    <row r="30" spans="1:3" x14ac:dyDescent="0.25">
      <c r="A30">
        <v>2036</v>
      </c>
      <c r="B30" s="34">
        <v>2189406</v>
      </c>
      <c r="C30" s="66">
        <f t="shared" si="0"/>
        <v>6.1835032130778678E-3</v>
      </c>
    </row>
    <row r="31" spans="1:3" x14ac:dyDescent="0.25">
      <c r="A31">
        <v>2037</v>
      </c>
      <c r="B31" s="34">
        <v>2202687</v>
      </c>
      <c r="C31" s="66">
        <f t="shared" si="0"/>
        <v>6.0660288681039518E-3</v>
      </c>
    </row>
    <row r="32" spans="1:3" x14ac:dyDescent="0.25">
      <c r="A32">
        <v>2038</v>
      </c>
      <c r="B32" s="34">
        <v>2215970</v>
      </c>
      <c r="C32" s="66">
        <f t="shared" si="0"/>
        <v>6.0303620078567674E-3</v>
      </c>
    </row>
    <row r="33" spans="1:3" x14ac:dyDescent="0.25">
      <c r="A33">
        <v>2039</v>
      </c>
      <c r="B33" s="34">
        <v>2229086</v>
      </c>
      <c r="C33" s="66">
        <f t="shared" si="0"/>
        <v>5.91885269204908E-3</v>
      </c>
    </row>
    <row r="34" spans="1:3" x14ac:dyDescent="0.25">
      <c r="A34">
        <v>2040</v>
      </c>
      <c r="B34" s="34">
        <v>2241634</v>
      </c>
      <c r="C34" s="66">
        <f t="shared" si="0"/>
        <v>5.6292130496535349E-3</v>
      </c>
    </row>
    <row r="35" spans="1:3" x14ac:dyDescent="0.25">
      <c r="A35">
        <v>2041</v>
      </c>
      <c r="B35" s="34">
        <v>2253525</v>
      </c>
      <c r="C35" s="66">
        <f t="shared" si="0"/>
        <v>5.3046126174031982E-3</v>
      </c>
    </row>
    <row r="36" spans="1:3" x14ac:dyDescent="0.25">
      <c r="A36">
        <v>2042</v>
      </c>
      <c r="B36" s="34">
        <v>2265499</v>
      </c>
      <c r="C36" s="66">
        <f>(B36-B35)/B35</f>
        <v>5.3134533675020246E-3</v>
      </c>
    </row>
    <row r="37" spans="1:3" x14ac:dyDescent="0.25">
      <c r="A37">
        <v>2043</v>
      </c>
      <c r="B37" s="34">
        <v>2276769</v>
      </c>
      <c r="C37" s="66">
        <f>(B37-B36)/B36</f>
        <v>4.9746214851562505E-3</v>
      </c>
    </row>
    <row r="38" spans="1:3" x14ac:dyDescent="0.25">
      <c r="A38">
        <v>2044</v>
      </c>
      <c r="B38" s="34">
        <v>2287675</v>
      </c>
      <c r="C38" s="66">
        <f t="shared" ref="C38:C54" si="1">(B38-B37)/B37</f>
        <v>4.790121439636608E-3</v>
      </c>
    </row>
    <row r="39" spans="1:3" x14ac:dyDescent="0.25">
      <c r="A39">
        <v>2045</v>
      </c>
      <c r="B39" s="34">
        <v>2298147</v>
      </c>
      <c r="C39" s="66">
        <f t="shared" si="1"/>
        <v>4.577573300403248E-3</v>
      </c>
    </row>
    <row r="40" spans="1:3" x14ac:dyDescent="0.25">
      <c r="A40">
        <v>2046</v>
      </c>
      <c r="B40" s="34">
        <v>2308168</v>
      </c>
      <c r="C40" s="66">
        <f t="shared" si="1"/>
        <v>4.3604695435061382E-3</v>
      </c>
    </row>
    <row r="41" spans="1:3" x14ac:dyDescent="0.25">
      <c r="A41">
        <v>2047</v>
      </c>
      <c r="B41" s="34">
        <v>2317940</v>
      </c>
      <c r="C41" s="66">
        <f t="shared" si="1"/>
        <v>4.2336606347544896E-3</v>
      </c>
    </row>
    <row r="42" spans="1:3" x14ac:dyDescent="0.25">
      <c r="A42">
        <v>2048</v>
      </c>
      <c r="B42" s="34">
        <v>2326936</v>
      </c>
      <c r="C42" s="66">
        <f t="shared" si="1"/>
        <v>3.8810322959179273E-3</v>
      </c>
    </row>
    <row r="43" spans="1:3" x14ac:dyDescent="0.25">
      <c r="A43">
        <v>2049</v>
      </c>
      <c r="B43" s="34">
        <v>2335473</v>
      </c>
      <c r="C43" s="66">
        <f t="shared" si="1"/>
        <v>3.6687730130953323E-3</v>
      </c>
    </row>
    <row r="44" spans="1:3" x14ac:dyDescent="0.25">
      <c r="A44">
        <v>2050</v>
      </c>
      <c r="B44" s="34">
        <v>2343610</v>
      </c>
      <c r="C44" s="66">
        <f t="shared" si="1"/>
        <v>3.4840908030193455E-3</v>
      </c>
    </row>
    <row r="45" spans="1:3" x14ac:dyDescent="0.25">
      <c r="A45">
        <v>2051</v>
      </c>
      <c r="B45" s="34">
        <v>2351698</v>
      </c>
      <c r="C45" s="66">
        <f t="shared" si="1"/>
        <v>3.451086144879054E-3</v>
      </c>
    </row>
    <row r="46" spans="1:3" x14ac:dyDescent="0.25">
      <c r="A46">
        <v>2052</v>
      </c>
      <c r="B46" s="34">
        <v>2359073</v>
      </c>
      <c r="C46" s="66">
        <f t="shared" si="1"/>
        <v>3.136031922466235E-3</v>
      </c>
    </row>
    <row r="47" spans="1:3" x14ac:dyDescent="0.25">
      <c r="A47">
        <v>2053</v>
      </c>
      <c r="B47" s="34">
        <v>2365999</v>
      </c>
      <c r="C47" s="66">
        <f t="shared" si="1"/>
        <v>2.9358989738766032E-3</v>
      </c>
    </row>
    <row r="48" spans="1:3" x14ac:dyDescent="0.25">
      <c r="A48">
        <v>2054</v>
      </c>
      <c r="B48" s="34">
        <v>2372624</v>
      </c>
      <c r="C48" s="66">
        <f t="shared" si="1"/>
        <v>2.8000857143219418E-3</v>
      </c>
    </row>
    <row r="49" spans="1:3" x14ac:dyDescent="0.25">
      <c r="A49">
        <v>2055</v>
      </c>
      <c r="B49" s="34">
        <v>2378827</v>
      </c>
      <c r="C49" s="66">
        <f t="shared" si="1"/>
        <v>2.6144049794657731E-3</v>
      </c>
    </row>
    <row r="50" spans="1:3" x14ac:dyDescent="0.25">
      <c r="A50">
        <v>2056</v>
      </c>
      <c r="B50" s="34">
        <v>2385097</v>
      </c>
      <c r="C50" s="66">
        <f t="shared" si="1"/>
        <v>2.6357528311222295E-3</v>
      </c>
    </row>
    <row r="51" spans="1:3" x14ac:dyDescent="0.25">
      <c r="A51">
        <v>2057</v>
      </c>
      <c r="B51" s="34">
        <v>2390867</v>
      </c>
      <c r="C51" s="66">
        <f t="shared" si="1"/>
        <v>2.4191888212512949E-3</v>
      </c>
    </row>
    <row r="52" spans="1:3" x14ac:dyDescent="0.25">
      <c r="A52">
        <v>2058</v>
      </c>
      <c r="B52" s="34">
        <v>2396532</v>
      </c>
      <c r="C52" s="66">
        <f t="shared" si="1"/>
        <v>2.369433347819013E-3</v>
      </c>
    </row>
    <row r="53" spans="1:3" x14ac:dyDescent="0.25">
      <c r="A53">
        <v>2059</v>
      </c>
      <c r="B53" s="34">
        <v>2402449</v>
      </c>
      <c r="C53" s="66">
        <f t="shared" si="1"/>
        <v>2.4689843490510455E-3</v>
      </c>
    </row>
    <row r="54" spans="1:3" x14ac:dyDescent="0.25">
      <c r="A54">
        <v>2060</v>
      </c>
      <c r="B54" s="34">
        <v>2408169</v>
      </c>
      <c r="C54" s="66">
        <f t="shared" si="1"/>
        <v>2.3809038193942931E-3</v>
      </c>
    </row>
  </sheetData>
  <hyperlinks>
    <hyperlink ref="A2" r:id="rId1" display="https://dof.ca.gov/forecasting/demographics/projections/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opLeftCell="F55" workbookViewId="0">
      <selection activeCell="R75" sqref="R75"/>
    </sheetView>
  </sheetViews>
  <sheetFormatPr defaultColWidth="9.140625" defaultRowHeight="16.5" x14ac:dyDescent="0.3"/>
  <cols>
    <col min="1" max="1" width="9.140625" style="41"/>
    <col min="2" max="2" width="4.7109375" style="10" customWidth="1"/>
    <col min="3" max="3" width="70.7109375" style="10" customWidth="1"/>
    <col min="4" max="6" width="12.7109375" style="10" customWidth="1"/>
    <col min="7" max="7" width="9.140625" style="10"/>
    <col min="8" max="8" width="4.7109375" style="10" customWidth="1"/>
    <col min="9" max="9" width="70.7109375" style="10" customWidth="1"/>
    <col min="10" max="12" width="12.7109375" style="10" customWidth="1"/>
    <col min="13" max="13" width="9.140625" style="10"/>
    <col min="14" max="14" width="4.7109375" style="10" customWidth="1"/>
    <col min="15" max="15" width="70.7109375" style="10" customWidth="1"/>
    <col min="16" max="18" width="12.7109375" style="10" customWidth="1"/>
    <col min="19" max="16384" width="9.140625" style="10"/>
  </cols>
  <sheetData>
    <row r="1" spans="1:18" ht="18" thickBot="1" x14ac:dyDescent="0.35">
      <c r="B1" s="42" t="s">
        <v>49</v>
      </c>
      <c r="C1" s="43"/>
      <c r="D1" s="43"/>
      <c r="E1" s="43"/>
      <c r="F1" s="43"/>
      <c r="H1" s="42" t="s">
        <v>50</v>
      </c>
      <c r="I1" s="43"/>
      <c r="J1" s="43"/>
      <c r="K1" s="43"/>
      <c r="L1" s="43"/>
      <c r="N1" s="42" t="s">
        <v>51</v>
      </c>
      <c r="O1" s="43"/>
      <c r="P1" s="43"/>
      <c r="Q1" s="43"/>
      <c r="R1" s="43"/>
    </row>
    <row r="2" spans="1:18" ht="17.25" thickBot="1" x14ac:dyDescent="0.35">
      <c r="B2" s="44"/>
      <c r="C2" s="44"/>
      <c r="D2" s="45"/>
      <c r="E2" s="46"/>
      <c r="F2" s="47"/>
      <c r="H2" s="44"/>
      <c r="I2" s="44"/>
      <c r="J2" s="45"/>
      <c r="K2" s="46"/>
      <c r="L2" s="47"/>
      <c r="N2" s="44"/>
      <c r="O2" s="44"/>
      <c r="P2" s="45" t="s">
        <v>52</v>
      </c>
      <c r="Q2" s="46"/>
      <c r="R2" s="47"/>
    </row>
    <row r="3" spans="1:18" ht="33" x14ac:dyDescent="0.3">
      <c r="A3" s="48" t="s">
        <v>53</v>
      </c>
      <c r="B3" s="49" t="s">
        <v>54</v>
      </c>
      <c r="C3" s="44"/>
      <c r="D3" s="50" t="s">
        <v>55</v>
      </c>
      <c r="E3" s="51" t="s">
        <v>56</v>
      </c>
      <c r="F3" s="50" t="s">
        <v>57</v>
      </c>
      <c r="H3" s="49" t="s">
        <v>54</v>
      </c>
      <c r="I3" s="44"/>
      <c r="J3" s="50" t="s">
        <v>55</v>
      </c>
      <c r="K3" s="51" t="s">
        <v>56</v>
      </c>
      <c r="L3" s="50" t="s">
        <v>57</v>
      </c>
      <c r="N3" s="49" t="s">
        <v>54</v>
      </c>
      <c r="O3" s="44"/>
      <c r="P3" s="50" t="s">
        <v>55</v>
      </c>
      <c r="Q3" s="51" t="s">
        <v>56</v>
      </c>
      <c r="R3" s="50" t="s">
        <v>57</v>
      </c>
    </row>
    <row r="4" spans="1:18" x14ac:dyDescent="0.3">
      <c r="B4" s="32" t="s">
        <v>58</v>
      </c>
      <c r="C4" s="32"/>
      <c r="D4" s="52">
        <v>0.16603109413265779</v>
      </c>
      <c r="E4" s="32"/>
      <c r="F4" s="53">
        <v>6525762</v>
      </c>
      <c r="G4" s="32"/>
      <c r="H4" s="32" t="s">
        <v>58</v>
      </c>
      <c r="I4" s="32"/>
      <c r="J4" s="52">
        <v>0.1950196136954308</v>
      </c>
      <c r="K4" s="32"/>
      <c r="L4" s="53">
        <v>1837373</v>
      </c>
      <c r="M4" s="32"/>
      <c r="N4" s="32" t="s">
        <v>58</v>
      </c>
      <c r="O4" s="32"/>
      <c r="P4" s="52">
        <v>0.24173908460039667</v>
      </c>
      <c r="Q4" s="32"/>
      <c r="R4" s="53">
        <v>3980864</v>
      </c>
    </row>
    <row r="5" spans="1:18" x14ac:dyDescent="0.3">
      <c r="A5" s="41">
        <v>1</v>
      </c>
      <c r="C5" s="10" t="s">
        <v>59</v>
      </c>
      <c r="D5" s="54">
        <v>5.1835342744971646E-2</v>
      </c>
      <c r="F5" s="55">
        <v>2037360</v>
      </c>
      <c r="I5" s="10" t="s">
        <v>59</v>
      </c>
      <c r="J5" s="54">
        <v>2.0702165838523426E-2</v>
      </c>
      <c r="L5" s="55">
        <v>195045</v>
      </c>
      <c r="O5" s="10" t="s">
        <v>59</v>
      </c>
      <c r="P5" s="54">
        <v>9.4326643472038382E-2</v>
      </c>
      <c r="R5" s="55">
        <v>1553334</v>
      </c>
    </row>
    <row r="6" spans="1:18" x14ac:dyDescent="0.3">
      <c r="A6" s="41">
        <v>1</v>
      </c>
      <c r="C6" s="10" t="s">
        <v>60</v>
      </c>
      <c r="D6" s="54">
        <v>7.4413952595757784E-4</v>
      </c>
      <c r="F6" s="55">
        <v>29248</v>
      </c>
      <c r="I6" s="10" t="s">
        <v>60</v>
      </c>
      <c r="J6" s="54">
        <v>1.4760953642305378E-3</v>
      </c>
      <c r="L6" s="55">
        <v>13907</v>
      </c>
      <c r="O6" s="10" t="s">
        <v>60</v>
      </c>
      <c r="P6" s="54">
        <v>6.4113751567774937E-4</v>
      </c>
      <c r="R6" s="55">
        <v>10558</v>
      </c>
    </row>
    <row r="7" spans="1:18" x14ac:dyDescent="0.3">
      <c r="A7" s="41">
        <v>1</v>
      </c>
      <c r="C7" s="10" t="s">
        <v>61</v>
      </c>
      <c r="D7" s="54">
        <v>4.0507365360625642E-3</v>
      </c>
      <c r="F7" s="55">
        <v>159212</v>
      </c>
      <c r="I7" s="10" t="s">
        <v>61</v>
      </c>
      <c r="J7" s="54">
        <v>6.4589653555418803E-3</v>
      </c>
      <c r="L7" s="55">
        <v>60853</v>
      </c>
      <c r="O7" s="10" t="s">
        <v>61</v>
      </c>
      <c r="P7" s="54">
        <v>5.1975375169894152E-3</v>
      </c>
      <c r="R7" s="55">
        <v>85591</v>
      </c>
    </row>
    <row r="8" spans="1:18" x14ac:dyDescent="0.3">
      <c r="A8" s="41">
        <v>1</v>
      </c>
      <c r="C8" s="10" t="s">
        <v>62</v>
      </c>
      <c r="D8" s="54">
        <v>7.0336297992871395E-3</v>
      </c>
      <c r="F8" s="55">
        <v>276453</v>
      </c>
      <c r="I8" s="10" t="s">
        <v>62</v>
      </c>
      <c r="J8" s="54">
        <v>1.1102185877842096E-2</v>
      </c>
      <c r="L8" s="55">
        <v>104599</v>
      </c>
      <c r="O8" s="10" t="s">
        <v>62</v>
      </c>
      <c r="P8" s="54">
        <v>7.5304206330902013E-3</v>
      </c>
      <c r="R8" s="55">
        <v>124008</v>
      </c>
    </row>
    <row r="9" spans="1:18" x14ac:dyDescent="0.3">
      <c r="A9" s="41">
        <v>1</v>
      </c>
      <c r="C9" s="10" t="s">
        <v>63</v>
      </c>
      <c r="D9" s="54">
        <v>3.9858583976875705E-3</v>
      </c>
      <c r="F9" s="55">
        <v>156662</v>
      </c>
      <c r="I9" s="10" t="s">
        <v>63</v>
      </c>
      <c r="J9" s="54">
        <v>3.8570381419985272E-3</v>
      </c>
      <c r="L9" s="55">
        <v>36339</v>
      </c>
      <c r="O9" s="10" t="s">
        <v>63</v>
      </c>
      <c r="P9" s="54">
        <v>6.8594062792126558E-3</v>
      </c>
      <c r="R9" s="55">
        <v>112958</v>
      </c>
    </row>
    <row r="10" spans="1:18" x14ac:dyDescent="0.3">
      <c r="A10" s="41">
        <v>1</v>
      </c>
      <c r="C10" s="10" t="s">
        <v>64</v>
      </c>
      <c r="D10" s="54">
        <v>4.1206013862499103E-3</v>
      </c>
      <c r="F10" s="55">
        <v>161958</v>
      </c>
      <c r="I10" s="10" t="s">
        <v>64</v>
      </c>
      <c r="J10" s="54">
        <v>7.2398407128902702E-3</v>
      </c>
      <c r="L10" s="55">
        <v>68210</v>
      </c>
      <c r="O10" s="10" t="s">
        <v>64</v>
      </c>
      <c r="P10" s="54">
        <v>4.4868695546881558E-3</v>
      </c>
      <c r="R10" s="55">
        <v>73888</v>
      </c>
    </row>
    <row r="11" spans="1:18" x14ac:dyDescent="0.3">
      <c r="A11" s="41">
        <v>1</v>
      </c>
      <c r="C11" s="10" t="s">
        <v>65</v>
      </c>
      <c r="D11" s="54">
        <v>1.1641529610751268E-2</v>
      </c>
      <c r="F11" s="55">
        <v>457564</v>
      </c>
      <c r="I11" s="10" t="s">
        <v>65</v>
      </c>
      <c r="J11" s="54">
        <v>2.1909619700857974E-2</v>
      </c>
      <c r="L11" s="55">
        <v>206421</v>
      </c>
      <c r="O11" s="10" t="s">
        <v>65</v>
      </c>
      <c r="P11" s="54">
        <v>1.2931327115793274E-2</v>
      </c>
      <c r="R11" s="55">
        <v>212948</v>
      </c>
    </row>
    <row r="12" spans="1:18" x14ac:dyDescent="0.3">
      <c r="A12" s="41">
        <v>1</v>
      </c>
      <c r="C12" s="10" t="s">
        <v>66</v>
      </c>
      <c r="D12" s="54">
        <v>1.4242125263300293E-2</v>
      </c>
      <c r="F12" s="55">
        <v>559779</v>
      </c>
      <c r="I12" s="10" t="s">
        <v>66</v>
      </c>
      <c r="J12" s="54">
        <v>2.2534150162002182E-2</v>
      </c>
      <c r="L12" s="55">
        <v>212305</v>
      </c>
      <c r="O12" s="10" t="s">
        <v>66</v>
      </c>
      <c r="P12" s="54">
        <v>1.8256752074345232E-2</v>
      </c>
      <c r="R12" s="55">
        <v>300645</v>
      </c>
    </row>
    <row r="13" spans="1:18" x14ac:dyDescent="0.3">
      <c r="A13" s="41">
        <v>1</v>
      </c>
      <c r="C13" s="10" t="s">
        <v>67</v>
      </c>
      <c r="D13" s="54">
        <v>8.9805336834954883E-3</v>
      </c>
      <c r="F13" s="55">
        <v>352975</v>
      </c>
      <c r="I13" s="10" t="s">
        <v>67</v>
      </c>
      <c r="J13" s="54">
        <v>1.4472994576859384E-2</v>
      </c>
      <c r="L13" s="55">
        <v>136357</v>
      </c>
      <c r="O13" s="10" t="s">
        <v>67</v>
      </c>
      <c r="P13" s="54">
        <v>8.8448193380385714E-3</v>
      </c>
      <c r="R13" s="55">
        <v>145653</v>
      </c>
    </row>
    <row r="14" spans="1:18" x14ac:dyDescent="0.3">
      <c r="A14" s="41">
        <v>1</v>
      </c>
      <c r="C14" s="10" t="s">
        <v>68</v>
      </c>
      <c r="D14" s="54">
        <v>7.1243828657905131E-4</v>
      </c>
      <c r="F14" s="55">
        <v>28002</v>
      </c>
      <c r="I14" s="10" t="s">
        <v>68</v>
      </c>
      <c r="J14" s="54">
        <v>1.2811153409263388E-3</v>
      </c>
      <c r="L14" s="55">
        <v>12070</v>
      </c>
      <c r="O14" s="10" t="s">
        <v>68</v>
      </c>
      <c r="P14" s="54">
        <v>8.5003248195275019E-4</v>
      </c>
      <c r="R14" s="55">
        <v>13998</v>
      </c>
    </row>
    <row r="15" spans="1:18" x14ac:dyDescent="0.3">
      <c r="A15" s="41">
        <v>1</v>
      </c>
      <c r="C15" s="10" t="s">
        <v>69</v>
      </c>
      <c r="D15" s="54">
        <v>1.1898396153901833E-3</v>
      </c>
      <c r="F15" s="55">
        <v>46766</v>
      </c>
      <c r="I15" s="10" t="s">
        <v>69</v>
      </c>
      <c r="J15" s="54">
        <v>1.4479681425780542E-3</v>
      </c>
      <c r="L15" s="55">
        <v>13642</v>
      </c>
      <c r="O15" s="10" t="s">
        <v>69</v>
      </c>
      <c r="P15" s="54">
        <v>1.7875700936736039E-3</v>
      </c>
      <c r="R15" s="55">
        <v>29437</v>
      </c>
    </row>
    <row r="16" spans="1:18" x14ac:dyDescent="0.3">
      <c r="C16" s="62" t="s">
        <v>7</v>
      </c>
      <c r="D16" s="61">
        <f>SUM(D17:D18)</f>
        <v>5.2073407349197062E-2</v>
      </c>
      <c r="F16" s="63">
        <f>SUM(F17:F18)</f>
        <v>2046717</v>
      </c>
      <c r="I16" s="62" t="s">
        <v>7</v>
      </c>
      <c r="J16" s="61">
        <f>SUM(J17:J18)</f>
        <v>8.0098472872303053E-2</v>
      </c>
      <c r="L16" s="63">
        <f>SUM(L17:L18)</f>
        <v>754646</v>
      </c>
      <c r="O16" s="62" t="s">
        <v>7</v>
      </c>
      <c r="P16" s="61">
        <f>SUM(P17:P18)</f>
        <v>7.149266262503487E-2</v>
      </c>
      <c r="R16" s="63">
        <f>SUM(R17:R18)</f>
        <v>1177313</v>
      </c>
    </row>
    <row r="17" spans="1:18" x14ac:dyDescent="0.3">
      <c r="A17" s="41">
        <v>1</v>
      </c>
      <c r="C17" s="10" t="s">
        <v>70</v>
      </c>
      <c r="D17" s="54">
        <v>1.3112838577060103E-2</v>
      </c>
      <c r="F17" s="55">
        <v>515393</v>
      </c>
      <c r="I17" s="10" t="s">
        <v>70</v>
      </c>
      <c r="J17" s="54">
        <v>1.3514864652870813E-2</v>
      </c>
      <c r="L17" s="55">
        <v>127330</v>
      </c>
      <c r="O17" s="10" t="s">
        <v>70</v>
      </c>
      <c r="P17" s="54">
        <v>2.2129567588634318E-2</v>
      </c>
      <c r="R17" s="55">
        <v>364421</v>
      </c>
    </row>
    <row r="18" spans="1:18" x14ac:dyDescent="0.3">
      <c r="A18" s="41">
        <v>1</v>
      </c>
      <c r="C18" s="10" t="s">
        <v>71</v>
      </c>
      <c r="D18" s="54">
        <v>3.896056877213696E-2</v>
      </c>
      <c r="F18" s="55">
        <v>1531324</v>
      </c>
      <c r="I18" s="10" t="s">
        <v>71</v>
      </c>
      <c r="J18" s="54">
        <v>6.6583608219432239E-2</v>
      </c>
      <c r="L18" s="55">
        <v>627316</v>
      </c>
      <c r="O18" s="10" t="s">
        <v>71</v>
      </c>
      <c r="P18" s="54">
        <v>4.9363095036400552E-2</v>
      </c>
      <c r="R18" s="55">
        <v>812892</v>
      </c>
    </row>
    <row r="19" spans="1:18" x14ac:dyDescent="0.3">
      <c r="A19" s="41">
        <v>1</v>
      </c>
      <c r="C19" s="10" t="s">
        <v>72</v>
      </c>
      <c r="D19" s="54">
        <v>5.4209373761352304E-3</v>
      </c>
      <c r="F19" s="55">
        <v>213067</v>
      </c>
      <c r="I19" s="10" t="s">
        <v>72</v>
      </c>
      <c r="J19" s="54">
        <v>2.4391077493361446E-3</v>
      </c>
      <c r="L19" s="55">
        <v>22980</v>
      </c>
      <c r="O19" s="10" t="s">
        <v>72</v>
      </c>
      <c r="P19" s="54">
        <v>8.5339058998618253E-3</v>
      </c>
      <c r="R19" s="55">
        <v>140533</v>
      </c>
    </row>
    <row r="20" spans="1:18" x14ac:dyDescent="0.3">
      <c r="B20" s="32" t="s">
        <v>73</v>
      </c>
      <c r="C20" s="32"/>
      <c r="D20" s="52">
        <v>1.6765325113129028E-2</v>
      </c>
      <c r="E20" s="32"/>
      <c r="F20" s="53">
        <v>658952</v>
      </c>
      <c r="G20" s="32"/>
      <c r="H20" s="32" t="s">
        <v>73</v>
      </c>
      <c r="I20" s="32"/>
      <c r="J20" s="52">
        <v>2.1821735400751347E-2</v>
      </c>
      <c r="K20" s="32"/>
      <c r="L20" s="53">
        <v>205593</v>
      </c>
      <c r="M20" s="32"/>
      <c r="N20" s="32" t="s">
        <v>73</v>
      </c>
      <c r="O20" s="32"/>
      <c r="P20" s="52">
        <v>1.7845884823817135E-2</v>
      </c>
      <c r="Q20" s="32"/>
      <c r="R20" s="53">
        <v>293879</v>
      </c>
    </row>
    <row r="21" spans="1:18" x14ac:dyDescent="0.3">
      <c r="C21" s="10" t="s">
        <v>74</v>
      </c>
      <c r="D21" s="54">
        <v>3.9972565961158045E-3</v>
      </c>
      <c r="F21" s="55">
        <v>157110</v>
      </c>
      <c r="I21" s="10" t="s">
        <v>74</v>
      </c>
      <c r="J21" s="54">
        <v>4.5559730649479841E-3</v>
      </c>
      <c r="L21" s="55">
        <v>42924</v>
      </c>
      <c r="O21" s="10" t="s">
        <v>74</v>
      </c>
      <c r="P21" s="54">
        <v>4.0626427423634016E-3</v>
      </c>
      <c r="R21" s="55">
        <v>66902</v>
      </c>
    </row>
    <row r="22" spans="1:18" x14ac:dyDescent="0.3">
      <c r="C22" s="10" t="s">
        <v>75</v>
      </c>
      <c r="D22" s="54">
        <v>4.6452747076495679E-3</v>
      </c>
      <c r="F22" s="55">
        <v>182580</v>
      </c>
      <c r="I22" s="10" t="s">
        <v>75</v>
      </c>
      <c r="J22" s="54">
        <v>6.9250281113005839E-3</v>
      </c>
      <c r="L22" s="55">
        <v>65244</v>
      </c>
      <c r="O22" s="10" t="s">
        <v>75</v>
      </c>
      <c r="P22" s="54">
        <v>4.101142570450131E-3</v>
      </c>
      <c r="R22" s="55">
        <v>67536</v>
      </c>
    </row>
    <row r="23" spans="1:18" x14ac:dyDescent="0.3">
      <c r="C23" s="10" t="s">
        <v>76</v>
      </c>
      <c r="D23" s="54">
        <v>6.5677029961258592E-4</v>
      </c>
      <c r="F23" s="55">
        <v>25814</v>
      </c>
      <c r="I23" s="10" t="s">
        <v>76</v>
      </c>
      <c r="J23" s="54">
        <v>5.815435752224863E-4</v>
      </c>
      <c r="L23" s="55">
        <v>5479</v>
      </c>
      <c r="O23" s="10" t="s">
        <v>76</v>
      </c>
      <c r="P23" s="54">
        <v>1.137384511142664E-3</v>
      </c>
      <c r="R23" s="55">
        <v>18730</v>
      </c>
    </row>
    <row r="24" spans="1:18" x14ac:dyDescent="0.3">
      <c r="C24" s="10" t="s">
        <v>77</v>
      </c>
      <c r="D24" s="54">
        <v>2.8445628952462059E-3</v>
      </c>
      <c r="F24" s="55">
        <v>111804</v>
      </c>
      <c r="I24" s="10" t="s">
        <v>77</v>
      </c>
      <c r="J24" s="54">
        <v>4.2985824517129904E-3</v>
      </c>
      <c r="L24" s="55">
        <v>40499</v>
      </c>
      <c r="O24" s="10" t="s">
        <v>77</v>
      </c>
      <c r="P24" s="54">
        <v>3.9744696345054651E-3</v>
      </c>
      <c r="R24" s="55">
        <v>65450</v>
      </c>
    </row>
    <row r="25" spans="1:18" x14ac:dyDescent="0.3">
      <c r="C25" s="10" t="s">
        <v>78</v>
      </c>
      <c r="D25" s="54">
        <v>2.0838094773831884E-3</v>
      </c>
      <c r="F25" s="55">
        <v>81903</v>
      </c>
      <c r="I25" s="10" t="s">
        <v>78</v>
      </c>
      <c r="J25" s="54">
        <v>3.2544787558809775E-3</v>
      </c>
      <c r="L25" s="55">
        <v>30662</v>
      </c>
      <c r="O25" s="10" t="s">
        <v>78</v>
      </c>
      <c r="P25" s="54">
        <v>2.3855926599166874E-3</v>
      </c>
      <c r="R25" s="55">
        <v>39285</v>
      </c>
    </row>
    <row r="26" spans="1:18" x14ac:dyDescent="0.3">
      <c r="C26" s="10" t="s">
        <v>79</v>
      </c>
      <c r="D26" s="54">
        <v>4.2755965309481314E-4</v>
      </c>
      <c r="F26" s="55">
        <v>16805</v>
      </c>
      <c r="I26" s="10" t="s">
        <v>79</v>
      </c>
      <c r="J26" s="54">
        <v>6.0478833575793522E-4</v>
      </c>
      <c r="L26" s="55">
        <v>5698</v>
      </c>
      <c r="O26" s="10" t="s">
        <v>79</v>
      </c>
      <c r="P26" s="54">
        <v>3.6101179491420917E-4</v>
      </c>
      <c r="R26" s="55">
        <v>5945</v>
      </c>
    </row>
    <row r="27" spans="1:18" x14ac:dyDescent="0.3">
      <c r="C27" s="10" t="s">
        <v>80</v>
      </c>
      <c r="D27" s="54">
        <v>1.6107588002042619E-4</v>
      </c>
      <c r="F27" s="55">
        <v>6331</v>
      </c>
      <c r="I27" s="10" t="s">
        <v>80</v>
      </c>
      <c r="J27" s="54">
        <v>1.3087118602834926E-4</v>
      </c>
      <c r="L27" s="55">
        <v>1233</v>
      </c>
      <c r="O27" s="10" t="s">
        <v>80</v>
      </c>
      <c r="P27" s="54">
        <v>2.0494782301689753E-4</v>
      </c>
      <c r="R27" s="55">
        <v>3375</v>
      </c>
    </row>
    <row r="28" spans="1:18" x14ac:dyDescent="0.3">
      <c r="C28" s="10" t="s">
        <v>81</v>
      </c>
      <c r="D28" s="54">
        <v>1.9490156040064361E-3</v>
      </c>
      <c r="F28" s="55">
        <v>76605</v>
      </c>
      <c r="I28" s="10" t="s">
        <v>81</v>
      </c>
      <c r="J28" s="54">
        <v>1.4704699199000412E-3</v>
      </c>
      <c r="L28" s="55">
        <v>13854</v>
      </c>
      <c r="O28" s="10" t="s">
        <v>81</v>
      </c>
      <c r="P28" s="54">
        <v>1.6186323622267864E-3</v>
      </c>
      <c r="R28" s="55">
        <v>26655</v>
      </c>
    </row>
    <row r="29" spans="1:18" x14ac:dyDescent="0.3">
      <c r="B29" s="32" t="s">
        <v>82</v>
      </c>
      <c r="C29" s="32"/>
      <c r="D29" s="52">
        <v>4.6079608732414241E-2</v>
      </c>
      <c r="E29" s="32"/>
      <c r="F29" s="53">
        <v>1811134</v>
      </c>
      <c r="G29" s="32"/>
      <c r="H29" s="32" t="s">
        <v>82</v>
      </c>
      <c r="I29" s="32"/>
      <c r="J29" s="52">
        <v>4.0799224919911718E-2</v>
      </c>
      <c r="K29" s="32"/>
      <c r="L29" s="53">
        <v>384389</v>
      </c>
      <c r="M29" s="32"/>
      <c r="N29" s="32" t="s">
        <v>82</v>
      </c>
      <c r="O29" s="32"/>
      <c r="P29" s="52">
        <v>4.4203692995812505E-2</v>
      </c>
      <c r="Q29" s="32"/>
      <c r="R29" s="53">
        <v>727929</v>
      </c>
    </row>
    <row r="30" spans="1:18" x14ac:dyDescent="0.3">
      <c r="C30" s="10" t="s">
        <v>83</v>
      </c>
      <c r="D30" s="54">
        <v>9.8951373377324618E-3</v>
      </c>
      <c r="F30" s="55">
        <v>388923</v>
      </c>
      <c r="I30" s="10" t="s">
        <v>83</v>
      </c>
      <c r="J30" s="54">
        <v>1.0081751504381797E-2</v>
      </c>
      <c r="L30" s="55">
        <v>94985</v>
      </c>
      <c r="O30" s="10" t="s">
        <v>83</v>
      </c>
      <c r="P30" s="54">
        <v>1.3264223105653608E-3</v>
      </c>
      <c r="R30" s="55">
        <v>21843</v>
      </c>
    </row>
    <row r="31" spans="1:18" x14ac:dyDescent="0.3">
      <c r="C31" s="10" t="s">
        <v>84</v>
      </c>
      <c r="D31" s="54">
        <v>1.0384343943487121E-2</v>
      </c>
      <c r="F31" s="55">
        <v>408151</v>
      </c>
      <c r="I31" s="10" t="s">
        <v>84</v>
      </c>
      <c r="J31" s="54">
        <v>4.7927724291241779E-3</v>
      </c>
      <c r="L31" s="55">
        <v>45155</v>
      </c>
      <c r="O31" s="10" t="s">
        <v>84</v>
      </c>
      <c r="P31" s="54">
        <v>5.9753676399593239E-5</v>
      </c>
      <c r="R31" s="55">
        <v>984</v>
      </c>
    </row>
    <row r="32" spans="1:18" x14ac:dyDescent="0.3">
      <c r="C32" s="10" t="s">
        <v>85</v>
      </c>
      <c r="D32" s="54">
        <v>1.3441223726866397E-3</v>
      </c>
      <c r="F32" s="55">
        <v>52830</v>
      </c>
      <c r="I32" s="10" t="s">
        <v>85</v>
      </c>
      <c r="J32" s="54">
        <v>9.0472004498657211E-3</v>
      </c>
      <c r="L32" s="55">
        <v>85238</v>
      </c>
      <c r="O32" s="10" t="s">
        <v>85</v>
      </c>
      <c r="P32" s="54">
        <v>5.1474998855328457E-3</v>
      </c>
      <c r="R32" s="55">
        <v>84767</v>
      </c>
    </row>
    <row r="33" spans="2:18" x14ac:dyDescent="0.3">
      <c r="C33" s="10" t="s">
        <v>86</v>
      </c>
      <c r="D33" s="54">
        <v>7.6270485049570839E-3</v>
      </c>
      <c r="F33" s="55">
        <v>299777</v>
      </c>
      <c r="I33" s="10" t="s">
        <v>86</v>
      </c>
      <c r="J33" s="54">
        <v>2.2255531456953992E-3</v>
      </c>
      <c r="L33" s="55">
        <v>20968</v>
      </c>
      <c r="O33" s="10" t="s">
        <v>86</v>
      </c>
      <c r="P33" s="54">
        <v>9.7918908188597657E-3</v>
      </c>
      <c r="R33" s="55">
        <v>161249</v>
      </c>
    </row>
    <row r="34" spans="2:18" x14ac:dyDescent="0.3">
      <c r="C34" s="10" t="s">
        <v>87</v>
      </c>
      <c r="D34" s="54">
        <v>4.9603025936727739E-3</v>
      </c>
      <c r="F34" s="55">
        <v>194962</v>
      </c>
      <c r="I34" s="10" t="s">
        <v>87</v>
      </c>
      <c r="J34" s="54">
        <v>2.7447922714461572E-4</v>
      </c>
      <c r="L34" s="55">
        <v>2586</v>
      </c>
      <c r="O34" s="10" t="s">
        <v>87</v>
      </c>
      <c r="P34" s="54">
        <v>9.4152726267558266E-3</v>
      </c>
      <c r="R34" s="55">
        <v>155047</v>
      </c>
    </row>
    <row r="35" spans="2:18" x14ac:dyDescent="0.3">
      <c r="C35" s="10" t="s">
        <v>88</v>
      </c>
      <c r="D35" s="54">
        <v>1.3777063501984013E-4</v>
      </c>
      <c r="F35" s="55">
        <v>5415</v>
      </c>
      <c r="I35" s="10" t="s">
        <v>88</v>
      </c>
      <c r="J35" s="54">
        <v>8.9800135392769584E-3</v>
      </c>
      <c r="L35" s="55">
        <v>84605</v>
      </c>
      <c r="O35" s="10" t="s">
        <v>88</v>
      </c>
      <c r="P35" s="54">
        <v>1.354513825506877E-2</v>
      </c>
      <c r="R35" s="55">
        <v>223056</v>
      </c>
    </row>
    <row r="36" spans="2:18" x14ac:dyDescent="0.3">
      <c r="C36" s="10" t="s">
        <v>89</v>
      </c>
      <c r="D36" s="54">
        <v>1.1730908787265525E-2</v>
      </c>
      <c r="F36" s="55">
        <v>461077</v>
      </c>
      <c r="I36" s="10" t="s">
        <v>89</v>
      </c>
      <c r="J36" s="54">
        <v>5.3974546244230466E-3</v>
      </c>
      <c r="L36" s="55">
        <v>50852</v>
      </c>
      <c r="O36" s="10" t="s">
        <v>89</v>
      </c>
      <c r="P36" s="54">
        <v>4.9177761479112384E-3</v>
      </c>
      <c r="R36" s="55">
        <v>80984</v>
      </c>
    </row>
    <row r="37" spans="2:18" x14ac:dyDescent="0.3">
      <c r="B37" s="32" t="s">
        <v>90</v>
      </c>
      <c r="C37" s="32"/>
      <c r="D37" s="52">
        <v>0.11510277320457575</v>
      </c>
      <c r="E37" s="32"/>
      <c r="F37" s="53">
        <v>4524052</v>
      </c>
      <c r="G37" s="32"/>
      <c r="H37" s="32" t="s">
        <v>90</v>
      </c>
      <c r="I37" s="32"/>
      <c r="J37" s="52">
        <v>0.13942631930998511</v>
      </c>
      <c r="K37" s="32"/>
      <c r="L37" s="53">
        <v>1313602</v>
      </c>
      <c r="M37" s="32"/>
      <c r="N37" s="32" t="s">
        <v>90</v>
      </c>
      <c r="O37" s="32"/>
      <c r="P37" s="52">
        <v>0.14396203066796717</v>
      </c>
      <c r="Q37" s="32"/>
      <c r="R37" s="53">
        <v>2370710</v>
      </c>
    </row>
    <row r="38" spans="2:18" x14ac:dyDescent="0.3">
      <c r="C38" s="10" t="s">
        <v>91</v>
      </c>
      <c r="D38" s="54">
        <v>3.2670595093070489E-3</v>
      </c>
      <c r="F38" s="55">
        <v>128410</v>
      </c>
      <c r="I38" s="10" t="s">
        <v>91</v>
      </c>
      <c r="J38" s="54">
        <v>4.7234627093540949E-3</v>
      </c>
      <c r="L38" s="55">
        <v>44502</v>
      </c>
      <c r="O38" s="10" t="s">
        <v>91</v>
      </c>
      <c r="P38" s="54">
        <v>3.86449615080662E-3</v>
      </c>
      <c r="R38" s="55">
        <v>63639</v>
      </c>
    </row>
    <row r="39" spans="2:18" x14ac:dyDescent="0.3">
      <c r="C39" s="10" t="s">
        <v>92</v>
      </c>
      <c r="D39" s="54">
        <v>1.4974128761020666E-3</v>
      </c>
      <c r="F39" s="55">
        <v>58855</v>
      </c>
      <c r="I39" s="10" t="s">
        <v>92</v>
      </c>
      <c r="J39" s="54">
        <v>3.1620304160345117E-3</v>
      </c>
      <c r="L39" s="55">
        <v>29791</v>
      </c>
      <c r="O39" s="10" t="s">
        <v>92</v>
      </c>
      <c r="P39" s="54">
        <v>1.1907620330483982E-3</v>
      </c>
      <c r="R39" s="55">
        <v>19609</v>
      </c>
    </row>
    <row r="40" spans="2:18" x14ac:dyDescent="0.3">
      <c r="C40" s="10" t="s">
        <v>93</v>
      </c>
      <c r="D40" s="54">
        <v>2.895167843178701E-3</v>
      </c>
      <c r="F40" s="55">
        <v>113793</v>
      </c>
      <c r="I40" s="10" t="s">
        <v>93</v>
      </c>
      <c r="J40" s="54">
        <v>4.5833573033870053E-3</v>
      </c>
      <c r="L40" s="55">
        <v>43182</v>
      </c>
      <c r="O40" s="10" t="s">
        <v>93</v>
      </c>
      <c r="P40" s="54">
        <v>3.3975187407325629E-3</v>
      </c>
      <c r="R40" s="55">
        <v>55949</v>
      </c>
    </row>
    <row r="41" spans="2:18" x14ac:dyDescent="0.3">
      <c r="C41" s="10" t="s">
        <v>94</v>
      </c>
      <c r="D41" s="54">
        <v>1.87612310736159E-4</v>
      </c>
      <c r="F41" s="55">
        <v>7374</v>
      </c>
      <c r="I41" s="10" t="s">
        <v>94</v>
      </c>
      <c r="J41" s="54">
        <v>4.9514524154278133E-4</v>
      </c>
      <c r="L41" s="55">
        <v>4665</v>
      </c>
      <c r="O41" s="10" t="s">
        <v>94</v>
      </c>
      <c r="P41" s="54">
        <v>1.0031816403671548E-4</v>
      </c>
      <c r="R41" s="55">
        <v>1652</v>
      </c>
    </row>
    <row r="42" spans="2:18" x14ac:dyDescent="0.3">
      <c r="C42" s="10" t="s">
        <v>95</v>
      </c>
      <c r="D42" s="54">
        <v>4.0204091866731552E-3</v>
      </c>
      <c r="F42" s="55">
        <v>158020</v>
      </c>
      <c r="I42" s="10" t="s">
        <v>95</v>
      </c>
      <c r="J42" s="54">
        <v>5.6516610238860612E-3</v>
      </c>
      <c r="L42" s="55">
        <v>53247</v>
      </c>
      <c r="O42" s="10" t="s">
        <v>95</v>
      </c>
      <c r="P42" s="54">
        <v>5.2568053911418574E-3</v>
      </c>
      <c r="R42" s="55">
        <v>86567</v>
      </c>
    </row>
    <row r="43" spans="2:18" x14ac:dyDescent="0.3">
      <c r="C43" s="10" t="s">
        <v>96</v>
      </c>
      <c r="D43" s="54">
        <v>6.5509110073699785E-4</v>
      </c>
      <c r="F43" s="55">
        <v>25748</v>
      </c>
      <c r="I43" s="10" t="s">
        <v>96</v>
      </c>
      <c r="J43" s="54">
        <v>6.1253658926975149E-4</v>
      </c>
      <c r="L43" s="55">
        <v>5771</v>
      </c>
      <c r="O43" s="10" t="s">
        <v>96</v>
      </c>
      <c r="P43" s="54">
        <v>1.1447929954117191E-3</v>
      </c>
      <c r="R43" s="55">
        <v>18852</v>
      </c>
    </row>
    <row r="44" spans="2:18" x14ac:dyDescent="0.3">
      <c r="C44" s="10" t="s">
        <v>97</v>
      </c>
      <c r="D44" s="54">
        <v>6.1739563022076603E-3</v>
      </c>
      <c r="F44" s="55">
        <v>242664</v>
      </c>
      <c r="I44" s="10" t="s">
        <v>97</v>
      </c>
      <c r="J44" s="54">
        <v>1.1104414827482482E-2</v>
      </c>
      <c r="L44" s="55">
        <v>104620</v>
      </c>
      <c r="O44" s="10" t="s">
        <v>97</v>
      </c>
      <c r="P44" s="54">
        <v>7.3749639140018291E-3</v>
      </c>
      <c r="R44" s="55">
        <v>121448</v>
      </c>
    </row>
    <row r="45" spans="2:18" x14ac:dyDescent="0.3">
      <c r="C45" s="10" t="s">
        <v>98</v>
      </c>
      <c r="D45" s="54">
        <v>3.4723542930512946E-3</v>
      </c>
      <c r="F45" s="55">
        <v>136479</v>
      </c>
      <c r="I45" s="10" t="s">
        <v>98</v>
      </c>
      <c r="J45" s="54">
        <v>4.6787775760873188E-3</v>
      </c>
      <c r="L45" s="55">
        <v>44081</v>
      </c>
      <c r="O45" s="10" t="s">
        <v>98</v>
      </c>
      <c r="P45" s="54">
        <v>4.8636091973538837E-3</v>
      </c>
      <c r="R45" s="55">
        <v>80092</v>
      </c>
    </row>
    <row r="46" spans="2:18" x14ac:dyDescent="0.3">
      <c r="C46" s="10" t="s">
        <v>99</v>
      </c>
      <c r="D46" s="54">
        <v>5.3218392000683283E-3</v>
      </c>
      <c r="F46" s="55">
        <v>209172</v>
      </c>
      <c r="I46" s="10" t="s">
        <v>99</v>
      </c>
      <c r="J46" s="54">
        <v>8.3908278510017222E-3</v>
      </c>
      <c r="L46" s="55">
        <v>79054</v>
      </c>
      <c r="O46" s="10" t="s">
        <v>99</v>
      </c>
      <c r="P46" s="54">
        <v>6.5345867517112083E-3</v>
      </c>
      <c r="R46" s="55">
        <v>107609</v>
      </c>
    </row>
    <row r="47" spans="2:18" x14ac:dyDescent="0.3">
      <c r="C47" s="10" t="s">
        <v>100</v>
      </c>
      <c r="D47" s="54">
        <v>1.6670704800730358E-2</v>
      </c>
      <c r="F47" s="55">
        <v>655233</v>
      </c>
      <c r="I47" s="10" t="s">
        <v>100</v>
      </c>
      <c r="J47" s="54">
        <v>1.8594216321473126E-2</v>
      </c>
      <c r="L47" s="55">
        <v>175185</v>
      </c>
      <c r="O47" s="10" t="s">
        <v>100</v>
      </c>
      <c r="P47" s="54">
        <v>2.0791060947171071E-2</v>
      </c>
      <c r="R47" s="55">
        <v>342379</v>
      </c>
    </row>
    <row r="48" spans="2:18" x14ac:dyDescent="0.3">
      <c r="C48" s="10" t="s">
        <v>101</v>
      </c>
      <c r="D48" s="54">
        <v>3.5571029514540808E-3</v>
      </c>
      <c r="F48" s="55">
        <v>139810</v>
      </c>
      <c r="I48" s="10" t="s">
        <v>101</v>
      </c>
      <c r="J48" s="54">
        <v>7.1072712795168655E-3</v>
      </c>
      <c r="L48" s="55">
        <v>66961</v>
      </c>
      <c r="O48" s="10" t="s">
        <v>101</v>
      </c>
      <c r="P48" s="54">
        <v>2.1212555121855599E-3</v>
      </c>
      <c r="R48" s="55">
        <v>34932</v>
      </c>
    </row>
    <row r="49" spans="1:18" x14ac:dyDescent="0.3">
      <c r="C49" s="10" t="s">
        <v>102</v>
      </c>
      <c r="D49" s="54">
        <v>1.0006702293330245E-2</v>
      </c>
      <c r="F49" s="55">
        <v>393308</v>
      </c>
      <c r="I49" s="10" t="s">
        <v>102</v>
      </c>
      <c r="J49" s="54">
        <v>1.5471033313456764E-3</v>
      </c>
      <c r="L49" s="55">
        <v>14576</v>
      </c>
      <c r="O49" s="10" t="s">
        <v>102</v>
      </c>
      <c r="P49" s="54">
        <v>2.2040483601562973E-2</v>
      </c>
      <c r="R49" s="55">
        <v>362954</v>
      </c>
    </row>
    <row r="50" spans="1:18" x14ac:dyDescent="0.3">
      <c r="C50" s="10" t="s">
        <v>103</v>
      </c>
      <c r="D50" s="54">
        <v>5.1523927680771674E-3</v>
      </c>
      <c r="F50" s="55">
        <v>202512</v>
      </c>
      <c r="I50" s="10" t="s">
        <v>103</v>
      </c>
      <c r="J50" s="54">
        <v>3.616736142673156E-3</v>
      </c>
      <c r="L50" s="55">
        <v>34075</v>
      </c>
      <c r="O50" s="10" t="s">
        <v>103</v>
      </c>
      <c r="P50" s="54">
        <v>6.1215941163518242E-3</v>
      </c>
      <c r="R50" s="55">
        <v>100808</v>
      </c>
    </row>
    <row r="51" spans="1:18" x14ac:dyDescent="0.3">
      <c r="C51" s="10" t="s">
        <v>104</v>
      </c>
      <c r="D51" s="54">
        <v>5.6123406055450659E-4</v>
      </c>
      <c r="F51" s="55">
        <v>22059</v>
      </c>
      <c r="I51" s="10" t="s">
        <v>104</v>
      </c>
      <c r="J51" s="54">
        <v>8.8584827136464154E-4</v>
      </c>
      <c r="L51" s="55">
        <v>8346</v>
      </c>
      <c r="O51" s="10" t="s">
        <v>104</v>
      </c>
      <c r="P51" s="54">
        <v>5.3766163703455134E-4</v>
      </c>
      <c r="R51" s="55">
        <v>8854</v>
      </c>
    </row>
    <row r="52" spans="1:18" x14ac:dyDescent="0.3">
      <c r="C52" s="10" t="s">
        <v>105</v>
      </c>
      <c r="D52" s="54">
        <v>2.3832233581041459E-2</v>
      </c>
      <c r="F52" s="55">
        <v>936713</v>
      </c>
      <c r="I52" s="10" t="s">
        <v>105</v>
      </c>
      <c r="J52" s="54">
        <v>2.8013439080365098E-2</v>
      </c>
      <c r="L52" s="55">
        <v>263928</v>
      </c>
      <c r="O52" s="10" t="s">
        <v>105</v>
      </c>
      <c r="P52" s="54">
        <v>2.2824507703184057E-2</v>
      </c>
      <c r="R52" s="55">
        <v>375865</v>
      </c>
    </row>
    <row r="53" spans="1:18" x14ac:dyDescent="0.3">
      <c r="C53" s="10" t="s">
        <v>106</v>
      </c>
      <c r="D53" s="54">
        <v>1.75029513828419E-2</v>
      </c>
      <c r="F53" s="55">
        <v>687944</v>
      </c>
      <c r="I53" s="10" t="s">
        <v>106</v>
      </c>
      <c r="J53" s="54">
        <v>2.4629256683505497E-2</v>
      </c>
      <c r="L53" s="55">
        <v>232044</v>
      </c>
      <c r="O53" s="10" t="s">
        <v>106</v>
      </c>
      <c r="P53" s="54">
        <v>2.0614775456736092E-2</v>
      </c>
      <c r="R53" s="55">
        <v>339476</v>
      </c>
    </row>
    <row r="54" spans="1:18" x14ac:dyDescent="0.3">
      <c r="C54" s="10" t="s">
        <v>107</v>
      </c>
      <c r="D54" s="54">
        <v>1.0328497859670214E-2</v>
      </c>
      <c r="F54" s="55">
        <v>405956</v>
      </c>
      <c r="I54" s="10" t="s">
        <v>107</v>
      </c>
      <c r="J54" s="54">
        <v>1.163023466169533E-2</v>
      </c>
      <c r="L54" s="55">
        <v>109574</v>
      </c>
      <c r="O54" s="10" t="s">
        <v>107</v>
      </c>
      <c r="P54" s="54">
        <v>1.5182777630215345E-2</v>
      </c>
      <c r="R54" s="55">
        <v>250024</v>
      </c>
    </row>
    <row r="55" spans="1:18" x14ac:dyDescent="0.3">
      <c r="B55" s="32" t="s">
        <v>108</v>
      </c>
      <c r="C55" s="32"/>
      <c r="D55" s="52">
        <v>5.8130811983994586E-3</v>
      </c>
      <c r="E55" s="32"/>
      <c r="F55" s="53">
        <v>228480</v>
      </c>
      <c r="G55" s="32"/>
      <c r="H55" s="32" t="s">
        <v>108</v>
      </c>
      <c r="I55" s="32"/>
      <c r="J55" s="52">
        <v>6.0192254336315382E-3</v>
      </c>
      <c r="K55" s="32"/>
      <c r="L55" s="53">
        <v>56710</v>
      </c>
      <c r="M55" s="32"/>
      <c r="N55" s="32" t="s">
        <v>108</v>
      </c>
      <c r="O55" s="32"/>
      <c r="P55" s="52">
        <v>6.4083388927327995E-3</v>
      </c>
      <c r="Q55" s="32"/>
      <c r="R55" s="53">
        <v>105530</v>
      </c>
    </row>
    <row r="56" spans="1:18" x14ac:dyDescent="0.3">
      <c r="C56" s="10" t="s">
        <v>109</v>
      </c>
      <c r="D56" s="54">
        <v>2.1935934644765607E-3</v>
      </c>
      <c r="F56" s="55">
        <v>86218</v>
      </c>
      <c r="I56" s="10" t="s">
        <v>109</v>
      </c>
      <c r="J56" s="54">
        <v>3.4871386421535984E-3</v>
      </c>
      <c r="L56" s="55">
        <v>32854</v>
      </c>
      <c r="O56" s="10" t="s">
        <v>109</v>
      </c>
      <c r="P56" s="54">
        <v>1.4710699296546202E-3</v>
      </c>
      <c r="R56" s="55">
        <v>24225</v>
      </c>
    </row>
    <row r="57" spans="1:18" x14ac:dyDescent="0.3">
      <c r="C57" s="10" t="s">
        <v>110</v>
      </c>
      <c r="D57" s="54">
        <v>3.239021976566169E-3</v>
      </c>
      <c r="F57" s="55">
        <v>127308</v>
      </c>
      <c r="I57" s="10" t="s">
        <v>110</v>
      </c>
      <c r="J57" s="54">
        <v>2.13268024401267E-3</v>
      </c>
      <c r="L57" s="55">
        <v>20093</v>
      </c>
      <c r="O57" s="10" t="s">
        <v>110</v>
      </c>
      <c r="P57" s="54">
        <v>4.6941856636599152E-3</v>
      </c>
      <c r="R57" s="55">
        <v>77302</v>
      </c>
    </row>
    <row r="58" spans="1:18" x14ac:dyDescent="0.3">
      <c r="C58" s="10" t="s">
        <v>111</v>
      </c>
      <c r="D58" s="54">
        <v>3.8046575735672928E-4</v>
      </c>
      <c r="F58" s="55">
        <v>14954</v>
      </c>
      <c r="I58" s="10" t="s">
        <v>111</v>
      </c>
      <c r="J58" s="54">
        <v>3.9930040700620435E-4</v>
      </c>
      <c r="L58" s="55">
        <v>3762</v>
      </c>
      <c r="O58" s="10" t="s">
        <v>111</v>
      </c>
      <c r="P58" s="54">
        <v>2.4308329941826395E-4</v>
      </c>
      <c r="R58" s="55">
        <v>4003</v>
      </c>
    </row>
    <row r="59" spans="1:18" x14ac:dyDescent="0.3">
      <c r="B59" s="32" t="s">
        <v>112</v>
      </c>
      <c r="C59" s="32"/>
      <c r="D59" s="52">
        <v>0.3408529724758696</v>
      </c>
      <c r="E59" s="32"/>
      <c r="F59" s="53">
        <v>13397041</v>
      </c>
      <c r="G59" s="32"/>
      <c r="H59" s="32" t="s">
        <v>112</v>
      </c>
      <c r="I59" s="32"/>
      <c r="J59" s="52">
        <v>0.32649643718321053</v>
      </c>
      <c r="K59" s="32"/>
      <c r="L59" s="53">
        <v>3076079</v>
      </c>
      <c r="M59" s="32"/>
      <c r="N59" s="32" t="s">
        <v>112</v>
      </c>
      <c r="O59" s="32"/>
      <c r="P59" s="52">
        <v>0.36354938295220324</v>
      </c>
      <c r="Q59" s="32"/>
      <c r="R59" s="53">
        <v>5986788</v>
      </c>
    </row>
    <row r="60" spans="1:18" x14ac:dyDescent="0.3">
      <c r="B60" s="32"/>
      <c r="C60" s="62" t="s">
        <v>177</v>
      </c>
      <c r="D60" s="61">
        <f>SUM(D61:D68)</f>
        <v>0.14908067550710599</v>
      </c>
      <c r="E60" s="32"/>
      <c r="F60" s="63">
        <f>SUM(F61:F68)</f>
        <v>5859535</v>
      </c>
      <c r="G60" s="32"/>
      <c r="H60" s="32"/>
      <c r="I60" s="62" t="s">
        <v>177</v>
      </c>
      <c r="J60" s="61">
        <f>SUM(J61:J68)</f>
        <v>0.19952654986829033</v>
      </c>
      <c r="K60" s="32"/>
      <c r="L60" s="63">
        <f>SUM(L61:L68)</f>
        <v>1879835</v>
      </c>
      <c r="M60" s="32"/>
      <c r="N60" s="32"/>
      <c r="O60" s="62" t="s">
        <v>177</v>
      </c>
      <c r="P60" s="61">
        <f>SUM(P61:P68)</f>
        <v>0.20016200290436875</v>
      </c>
      <c r="Q60" s="32"/>
      <c r="R60" s="63">
        <f>SUM(R61:R68)</f>
        <v>3296189</v>
      </c>
    </row>
    <row r="61" spans="1:18" x14ac:dyDescent="0.3">
      <c r="A61" s="41">
        <v>1</v>
      </c>
      <c r="C61" s="10" t="s">
        <v>113</v>
      </c>
      <c r="D61" s="54">
        <v>1.4687978007176132E-2</v>
      </c>
      <c r="F61" s="55">
        <v>577303</v>
      </c>
      <c r="I61" s="10" t="s">
        <v>113</v>
      </c>
      <c r="J61" s="54">
        <v>1.3393758389076534E-2</v>
      </c>
      <c r="L61" s="55">
        <v>126189</v>
      </c>
      <c r="O61" s="10" t="s">
        <v>113</v>
      </c>
      <c r="P61" s="54">
        <v>2.3495825683466073E-2</v>
      </c>
      <c r="R61" s="55">
        <v>386920</v>
      </c>
    </row>
    <row r="62" spans="1:18" x14ac:dyDescent="0.3">
      <c r="A62" s="41">
        <v>1</v>
      </c>
      <c r="C62" s="10" t="s">
        <v>114</v>
      </c>
      <c r="D62" s="54">
        <v>1.7681709735870412E-3</v>
      </c>
      <c r="F62" s="55">
        <v>69497</v>
      </c>
      <c r="I62" s="10" t="s">
        <v>114</v>
      </c>
      <c r="J62" s="54">
        <v>1.7867684879166517E-3</v>
      </c>
      <c r="L62" s="55">
        <v>16834</v>
      </c>
      <c r="O62" s="10" t="s">
        <v>114</v>
      </c>
      <c r="P62" s="54">
        <v>2.7240753756192612E-3</v>
      </c>
      <c r="R62" s="55">
        <v>44859</v>
      </c>
    </row>
    <row r="63" spans="1:18" x14ac:dyDescent="0.3">
      <c r="A63" s="41">
        <v>1</v>
      </c>
      <c r="C63" s="10" t="s">
        <v>115</v>
      </c>
      <c r="D63" s="54">
        <v>2.1526311888750939E-3</v>
      </c>
      <c r="F63" s="55">
        <v>84608</v>
      </c>
      <c r="I63" s="10" t="s">
        <v>115</v>
      </c>
      <c r="J63" s="54">
        <v>1.7773219870597797E-3</v>
      </c>
      <c r="L63" s="55">
        <v>16745</v>
      </c>
      <c r="O63" s="10" t="s">
        <v>115</v>
      </c>
      <c r="P63" s="54">
        <v>3.6359261935219969E-3</v>
      </c>
      <c r="R63" s="55">
        <v>59875</v>
      </c>
    </row>
    <row r="64" spans="1:18" x14ac:dyDescent="0.3">
      <c r="A64" s="41">
        <v>1</v>
      </c>
      <c r="C64" s="10" t="s">
        <v>116</v>
      </c>
      <c r="D64" s="54">
        <v>3.8991761163371368E-3</v>
      </c>
      <c r="F64" s="55">
        <v>153255</v>
      </c>
      <c r="I64" s="10" t="s">
        <v>116</v>
      </c>
      <c r="J64" s="54">
        <v>6.2511423366906974E-3</v>
      </c>
      <c r="L64" s="55">
        <v>58895</v>
      </c>
      <c r="O64" s="10" t="s">
        <v>116</v>
      </c>
      <c r="P64" s="54">
        <v>4.869621000162379E-3</v>
      </c>
      <c r="R64" s="55">
        <v>80191</v>
      </c>
    </row>
    <row r="65" spans="1:18" x14ac:dyDescent="0.3">
      <c r="A65" s="41">
        <v>1</v>
      </c>
      <c r="C65" s="10" t="s">
        <v>117</v>
      </c>
      <c r="D65" s="54">
        <v>5.9174968375723903E-3</v>
      </c>
      <c r="F65" s="55">
        <v>232584</v>
      </c>
      <c r="I65" s="10" t="s">
        <v>117</v>
      </c>
      <c r="J65" s="54">
        <v>6.4380556851058824E-3</v>
      </c>
      <c r="L65" s="55">
        <v>60656</v>
      </c>
      <c r="O65" s="10" t="s">
        <v>117</v>
      </c>
      <c r="P65" s="54">
        <v>9.1233054762179765E-3</v>
      </c>
      <c r="R65" s="55">
        <v>150239</v>
      </c>
    </row>
    <row r="66" spans="1:18" x14ac:dyDescent="0.3">
      <c r="A66" s="41">
        <v>1</v>
      </c>
      <c r="C66" s="10" t="s">
        <v>118</v>
      </c>
      <c r="D66" s="54">
        <v>1.1117975755268671E-2</v>
      </c>
      <c r="F66" s="55">
        <v>436986</v>
      </c>
      <c r="I66" s="10" t="s">
        <v>118</v>
      </c>
      <c r="J66" s="54">
        <v>1.2171020300636482E-2</v>
      </c>
      <c r="L66" s="55">
        <v>114669</v>
      </c>
      <c r="O66" s="10" t="s">
        <v>118</v>
      </c>
      <c r="P66" s="54">
        <v>1.7159081896907177E-2</v>
      </c>
      <c r="R66" s="55">
        <v>282569</v>
      </c>
    </row>
    <row r="67" spans="1:18" x14ac:dyDescent="0.3">
      <c r="A67" s="41">
        <v>1</v>
      </c>
      <c r="C67" s="10" t="s">
        <v>119</v>
      </c>
      <c r="D67" s="54">
        <v>9.5475686128929343E-2</v>
      </c>
      <c r="F67" s="55">
        <v>3752620</v>
      </c>
      <c r="I67" s="10" t="s">
        <v>119</v>
      </c>
      <c r="J67" s="54">
        <v>0.14192104465987185</v>
      </c>
      <c r="L67" s="55">
        <v>1337106</v>
      </c>
      <c r="O67" s="10" t="s">
        <v>119</v>
      </c>
      <c r="P67" s="54">
        <v>0.11973233996489836</v>
      </c>
      <c r="R67" s="55">
        <v>1971705</v>
      </c>
    </row>
    <row r="68" spans="1:18" x14ac:dyDescent="0.3">
      <c r="A68" s="41">
        <v>1</v>
      </c>
      <c r="C68" s="10" t="s">
        <v>120</v>
      </c>
      <c r="D68" s="54">
        <v>1.4061560499360162E-2</v>
      </c>
      <c r="F68" s="55">
        <v>552682</v>
      </c>
      <c r="I68" s="10" t="s">
        <v>120</v>
      </c>
      <c r="J68" s="54">
        <v>1.5787438021932439E-2</v>
      </c>
      <c r="L68" s="55">
        <v>148741</v>
      </c>
      <c r="O68" s="10" t="s">
        <v>120</v>
      </c>
      <c r="P68" s="54">
        <v>1.9421827313575512E-2</v>
      </c>
      <c r="R68" s="55">
        <v>319831</v>
      </c>
    </row>
    <row r="69" spans="1:18" x14ac:dyDescent="0.3">
      <c r="C69" s="62" t="s">
        <v>6</v>
      </c>
      <c r="D69" s="61">
        <f>SUM(D70:D73)</f>
        <v>7.6073586260204523E-2</v>
      </c>
      <c r="F69" s="63">
        <f>SUM(F70:F73)</f>
        <v>2990031</v>
      </c>
      <c r="I69" s="62" t="s">
        <v>6</v>
      </c>
      <c r="J69" s="61">
        <f>SUM(J70:J73)</f>
        <v>8.3768279244509192E-2</v>
      </c>
      <c r="L69" s="63">
        <f>SUM(L70:L73)</f>
        <v>789221</v>
      </c>
      <c r="O69" s="62" t="s">
        <v>6</v>
      </c>
      <c r="P69" s="61">
        <f>SUM(P70:P73)</f>
        <v>6.3858280311054311E-2</v>
      </c>
      <c r="R69" s="63">
        <f>SUM(R70:R73)</f>
        <v>1051593</v>
      </c>
    </row>
    <row r="70" spans="1:18" x14ac:dyDescent="0.3">
      <c r="A70" s="41">
        <v>1</v>
      </c>
      <c r="C70" s="10" t="s">
        <v>121</v>
      </c>
      <c r="D70" s="54">
        <v>2.3047895051698589E-2</v>
      </c>
      <c r="F70" s="55">
        <v>905885</v>
      </c>
      <c r="I70" s="10" t="s">
        <v>121</v>
      </c>
      <c r="J70" s="54">
        <v>3.1762850796870724E-2</v>
      </c>
      <c r="L70" s="55">
        <v>299253</v>
      </c>
      <c r="O70" s="10" t="s">
        <v>121</v>
      </c>
      <c r="P70" s="54">
        <v>1.9293089718080456E-2</v>
      </c>
      <c r="R70" s="55">
        <v>317711</v>
      </c>
    </row>
    <row r="71" spans="1:18" x14ac:dyDescent="0.3">
      <c r="A71" s="41">
        <v>1</v>
      </c>
      <c r="C71" s="10" t="s">
        <v>122</v>
      </c>
      <c r="D71" s="54">
        <v>3.1088738867452104E-2</v>
      </c>
      <c r="F71" s="55">
        <v>1221926</v>
      </c>
      <c r="I71" s="10" t="s">
        <v>122</v>
      </c>
      <c r="J71" s="54">
        <v>3.0911392034243458E-2</v>
      </c>
      <c r="L71" s="55">
        <v>291231</v>
      </c>
      <c r="O71" s="10" t="s">
        <v>122</v>
      </c>
      <c r="P71" s="54">
        <v>2.6281901570878001E-2</v>
      </c>
      <c r="R71" s="55">
        <v>432800</v>
      </c>
    </row>
    <row r="72" spans="1:18" x14ac:dyDescent="0.3">
      <c r="A72" s="41">
        <v>1</v>
      </c>
      <c r="C72" s="10" t="s">
        <v>123</v>
      </c>
      <c r="D72" s="54">
        <v>1.5472214766890178E-2</v>
      </c>
      <c r="F72" s="55">
        <v>608127</v>
      </c>
      <c r="I72" s="10" t="s">
        <v>123</v>
      </c>
      <c r="J72" s="54">
        <v>1.16094311317184E-2</v>
      </c>
      <c r="L72" s="55">
        <v>109378</v>
      </c>
      <c r="O72" s="10" t="s">
        <v>123</v>
      </c>
      <c r="P72" s="54">
        <v>8.279770599320873E-3</v>
      </c>
      <c r="R72" s="55">
        <v>136348</v>
      </c>
    </row>
    <row r="73" spans="1:18" x14ac:dyDescent="0.3">
      <c r="A73" s="41">
        <v>1</v>
      </c>
      <c r="C73" s="10" t="s">
        <v>124</v>
      </c>
      <c r="D73" s="54">
        <v>6.4647375741636627E-3</v>
      </c>
      <c r="F73" s="55">
        <v>254093</v>
      </c>
      <c r="I73" s="10" t="s">
        <v>124</v>
      </c>
      <c r="J73" s="54">
        <v>9.484605281676611E-3</v>
      </c>
      <c r="L73" s="55">
        <v>89359</v>
      </c>
      <c r="O73" s="10" t="s">
        <v>124</v>
      </c>
      <c r="P73" s="54">
        <v>1.0003518422774992E-2</v>
      </c>
      <c r="R73" s="55">
        <v>164734</v>
      </c>
    </row>
    <row r="74" spans="1:18" x14ac:dyDescent="0.3">
      <c r="C74" s="62" t="s">
        <v>8</v>
      </c>
      <c r="D74" s="61">
        <f>SUM(D75:D77)+D80</f>
        <v>7.1059396648069706E-2</v>
      </c>
      <c r="F74" s="63">
        <f>SUM(F75:F77)+F80</f>
        <v>2792951</v>
      </c>
      <c r="I74" s="62" t="s">
        <v>8</v>
      </c>
      <c r="J74" s="61">
        <f>SUM(J75:J77)+J80</f>
        <v>2.1707103704960089E-2</v>
      </c>
      <c r="L74" s="63">
        <f>SUM(L75:L77)+L80</f>
        <v>204513</v>
      </c>
      <c r="O74" s="62" t="s">
        <v>8</v>
      </c>
      <c r="P74" s="61">
        <f>SUM(P75:P77)+P80</f>
        <v>7.8968066153635191E-2</v>
      </c>
      <c r="R74" s="63">
        <f>SUM(R75:R77)+R80</f>
        <v>1300415</v>
      </c>
    </row>
    <row r="75" spans="1:18" x14ac:dyDescent="0.3">
      <c r="A75" s="41">
        <v>1</v>
      </c>
      <c r="C75" s="10" t="s">
        <v>125</v>
      </c>
      <c r="D75" s="54">
        <v>2.0413791748859423E-2</v>
      </c>
      <c r="F75" s="55">
        <v>802353</v>
      </c>
      <c r="I75" s="10" t="s">
        <v>125</v>
      </c>
      <c r="J75" s="54">
        <v>7.8917554124735001E-3</v>
      </c>
      <c r="L75" s="55">
        <v>74352</v>
      </c>
      <c r="O75" s="10" t="s">
        <v>125</v>
      </c>
      <c r="P75" s="54">
        <v>1.8288207769848269E-2</v>
      </c>
      <c r="R75" s="55">
        <v>301163</v>
      </c>
    </row>
    <row r="76" spans="1:18" x14ac:dyDescent="0.3">
      <c r="A76" s="41">
        <v>1</v>
      </c>
      <c r="C76" s="10" t="s">
        <v>126</v>
      </c>
      <c r="D76" s="54">
        <v>2.2275081932819987E-2</v>
      </c>
      <c r="F76" s="55">
        <v>875510</v>
      </c>
      <c r="I76" s="10" t="s">
        <v>126</v>
      </c>
      <c r="J76" s="54">
        <v>8.2576215748739207E-3</v>
      </c>
      <c r="L76" s="55">
        <v>77799</v>
      </c>
      <c r="O76" s="10" t="s">
        <v>126</v>
      </c>
      <c r="P76" s="54">
        <v>1.6931665719959538E-2</v>
      </c>
      <c r="R76" s="55">
        <v>278824</v>
      </c>
    </row>
    <row r="77" spans="1:18" x14ac:dyDescent="0.3">
      <c r="A77" s="41">
        <v>1</v>
      </c>
      <c r="C77" s="10" t="s">
        <v>127</v>
      </c>
      <c r="D77" s="54">
        <v>2.2207150705580287E-2</v>
      </c>
      <c r="F77" s="55">
        <v>872840</v>
      </c>
      <c r="I77" s="10" t="s">
        <v>127</v>
      </c>
      <c r="J77" s="54">
        <v>1.8043878041216039E-5</v>
      </c>
      <c r="L77" s="55">
        <v>170</v>
      </c>
      <c r="O77" s="10" t="s">
        <v>127</v>
      </c>
      <c r="P77" s="54">
        <v>3.9385081231600998E-2</v>
      </c>
      <c r="R77" s="55">
        <v>648578</v>
      </c>
    </row>
    <row r="78" spans="1:18" x14ac:dyDescent="0.3">
      <c r="C78" s="10" t="s">
        <v>128</v>
      </c>
      <c r="D78" s="54">
        <v>4.4287572780868083E-2</v>
      </c>
      <c r="F78" s="55">
        <v>1740699</v>
      </c>
      <c r="I78" s="10" t="s">
        <v>128</v>
      </c>
      <c r="J78" s="54">
        <v>2.0467807704905749E-2</v>
      </c>
      <c r="L78" s="55">
        <v>192837</v>
      </c>
      <c r="O78" s="10" t="s">
        <v>128</v>
      </c>
      <c r="P78" s="54">
        <v>2.031485329440114E-2</v>
      </c>
      <c r="R78" s="55">
        <v>334537</v>
      </c>
    </row>
    <row r="79" spans="1:18" x14ac:dyDescent="0.3">
      <c r="C79" s="10" t="s">
        <v>129</v>
      </c>
      <c r="D79" s="54">
        <v>3.517158372140849E-4</v>
      </c>
      <c r="F79" s="55">
        <v>13824</v>
      </c>
      <c r="I79" s="10" t="s">
        <v>129</v>
      </c>
      <c r="J79" s="54">
        <v>1.0265905200861267E-3</v>
      </c>
      <c r="L79" s="55">
        <v>9672</v>
      </c>
      <c r="O79" s="10" t="s">
        <v>129</v>
      </c>
      <c r="P79" s="54">
        <v>2.4618028874385264E-4</v>
      </c>
      <c r="R79" s="55">
        <v>4054</v>
      </c>
    </row>
    <row r="80" spans="1:18" x14ac:dyDescent="0.3">
      <c r="A80" s="41">
        <v>1</v>
      </c>
      <c r="C80" s="10" t="s">
        <v>130</v>
      </c>
      <c r="D80" s="54">
        <v>6.1633722608100145E-3</v>
      </c>
      <c r="F80" s="55">
        <v>242248</v>
      </c>
      <c r="I80" s="10" t="s">
        <v>130</v>
      </c>
      <c r="J80" s="54">
        <v>5.5396828395714555E-3</v>
      </c>
      <c r="L80" s="55">
        <v>52192</v>
      </c>
      <c r="O80" s="10" t="s">
        <v>130</v>
      </c>
      <c r="P80" s="54">
        <v>4.3631114322263964E-3</v>
      </c>
      <c r="R80" s="55">
        <v>71850</v>
      </c>
    </row>
    <row r="81" spans="2:18" x14ac:dyDescent="0.3">
      <c r="B81" s="32" t="s">
        <v>131</v>
      </c>
      <c r="C81" s="32"/>
      <c r="D81" s="52">
        <v>0.14135926111382227</v>
      </c>
      <c r="E81" s="32"/>
      <c r="F81" s="53">
        <v>5556049</v>
      </c>
      <c r="G81" s="32"/>
      <c r="H81" s="32" t="s">
        <v>131</v>
      </c>
      <c r="I81" s="32"/>
      <c r="J81" s="52">
        <v>4.3326216969354493E-2</v>
      </c>
      <c r="K81" s="32"/>
      <c r="L81" s="53">
        <v>408197</v>
      </c>
      <c r="M81" s="32"/>
      <c r="N81" s="32" t="s">
        <v>131</v>
      </c>
      <c r="O81" s="32"/>
      <c r="P81" s="52">
        <v>5.4735642812926179E-2</v>
      </c>
      <c r="Q81" s="32"/>
      <c r="R81" s="53">
        <v>901365</v>
      </c>
    </row>
    <row r="82" spans="2:18" x14ac:dyDescent="0.3">
      <c r="C82" s="10" t="s">
        <v>132</v>
      </c>
      <c r="D82" s="54">
        <v>1.5372175221756657E-2</v>
      </c>
      <c r="F82" s="55">
        <v>604195</v>
      </c>
      <c r="I82" s="10" t="s">
        <v>132</v>
      </c>
      <c r="J82" s="54">
        <v>2.3086611251440592E-3</v>
      </c>
      <c r="L82" s="55">
        <v>21751</v>
      </c>
      <c r="O82" s="10" t="s">
        <v>132</v>
      </c>
      <c r="P82" s="54">
        <v>6.5468532584517748E-3</v>
      </c>
      <c r="R82" s="55">
        <v>107811</v>
      </c>
    </row>
    <row r="83" spans="2:18" x14ac:dyDescent="0.3">
      <c r="C83" s="10" t="s">
        <v>133</v>
      </c>
      <c r="D83" s="54">
        <v>1.2917110138425269E-4</v>
      </c>
      <c r="F83" s="55">
        <v>5077</v>
      </c>
      <c r="I83" s="10" t="s">
        <v>133</v>
      </c>
      <c r="J83" s="54">
        <v>0</v>
      </c>
      <c r="L83" s="55">
        <v>0</v>
      </c>
      <c r="O83" s="10" t="s">
        <v>133</v>
      </c>
      <c r="P83" s="54">
        <v>2.9755387638008826E-6</v>
      </c>
      <c r="R83" s="55">
        <v>49</v>
      </c>
    </row>
    <row r="84" spans="2:18" x14ac:dyDescent="0.3">
      <c r="C84" s="10" t="s">
        <v>134</v>
      </c>
      <c r="D84" s="54">
        <v>1.748287732355646E-2</v>
      </c>
      <c r="F84" s="55">
        <v>687155</v>
      </c>
      <c r="I84" s="10" t="s">
        <v>134</v>
      </c>
      <c r="J84" s="54">
        <v>3.4979649689783282E-3</v>
      </c>
      <c r="L84" s="55">
        <v>32956</v>
      </c>
      <c r="O84" s="10" t="s">
        <v>134</v>
      </c>
      <c r="P84" s="54">
        <v>1.1625247774327367E-3</v>
      </c>
      <c r="R84" s="55">
        <v>19144</v>
      </c>
    </row>
    <row r="85" spans="2:18" x14ac:dyDescent="0.3">
      <c r="C85" s="10" t="s">
        <v>135</v>
      </c>
      <c r="D85" s="54">
        <v>1.9194922346847332E-2</v>
      </c>
      <c r="F85" s="55">
        <v>754446</v>
      </c>
      <c r="I85" s="10" t="s">
        <v>135</v>
      </c>
      <c r="J85" s="54">
        <v>1.6624780103503931E-3</v>
      </c>
      <c r="L85" s="55">
        <v>15663</v>
      </c>
      <c r="O85" s="10" t="s">
        <v>135</v>
      </c>
      <c r="P85" s="54">
        <v>7.6350502920703835E-3</v>
      </c>
      <c r="R85" s="55">
        <v>125731</v>
      </c>
    </row>
    <row r="86" spans="2:18" x14ac:dyDescent="0.3">
      <c r="C86" s="10" t="s">
        <v>136</v>
      </c>
      <c r="D86" s="54">
        <v>1.5975948987159396E-2</v>
      </c>
      <c r="F86" s="55">
        <v>627926</v>
      </c>
      <c r="I86" s="10" t="s">
        <v>136</v>
      </c>
      <c r="J86" s="54">
        <v>1.2676885728544926E-2</v>
      </c>
      <c r="L86" s="55">
        <v>119435</v>
      </c>
      <c r="O86" s="10" t="s">
        <v>136</v>
      </c>
      <c r="P86" s="54">
        <v>1.3684259873596684E-2</v>
      </c>
      <c r="R86" s="55">
        <v>225347</v>
      </c>
    </row>
    <row r="87" spans="2:18" x14ac:dyDescent="0.3">
      <c r="C87" s="10" t="s">
        <v>137</v>
      </c>
      <c r="D87" s="54">
        <v>2.5900421420400235E-2</v>
      </c>
      <c r="F87" s="55">
        <v>1018002</v>
      </c>
      <c r="I87" s="10" t="s">
        <v>137</v>
      </c>
      <c r="J87" s="54">
        <v>9.0586636194448476E-3</v>
      </c>
      <c r="L87" s="55">
        <v>85346</v>
      </c>
      <c r="O87" s="10" t="s">
        <v>137</v>
      </c>
      <c r="P87" s="54">
        <v>5.8738956955856243E-3</v>
      </c>
      <c r="R87" s="55">
        <v>96729</v>
      </c>
    </row>
    <row r="88" spans="2:18" x14ac:dyDescent="0.3">
      <c r="C88" s="10" t="s">
        <v>138</v>
      </c>
      <c r="D88" s="54">
        <v>4.7303770155125158E-2</v>
      </c>
      <c r="F88" s="55">
        <v>1859249</v>
      </c>
      <c r="I88" s="10" t="s">
        <v>138</v>
      </c>
      <c r="J88" s="54">
        <v>1.4121669657351002E-2</v>
      </c>
      <c r="L88" s="55">
        <v>133047</v>
      </c>
      <c r="O88" s="10" t="s">
        <v>138</v>
      </c>
      <c r="P88" s="54">
        <v>1.9830083377025173E-2</v>
      </c>
      <c r="R88" s="55">
        <v>326554</v>
      </c>
    </row>
    <row r="89" spans="2:18" x14ac:dyDescent="0.3">
      <c r="B89" s="32" t="s">
        <v>139</v>
      </c>
      <c r="C89" s="32"/>
      <c r="D89" s="52">
        <v>2.4423693221356552E-3</v>
      </c>
      <c r="E89" s="32"/>
      <c r="F89" s="53">
        <v>95996</v>
      </c>
      <c r="G89" s="32"/>
      <c r="H89" s="32" t="s">
        <v>139</v>
      </c>
      <c r="I89" s="32"/>
      <c r="J89" s="52">
        <v>3.2454568168603696E-3</v>
      </c>
      <c r="K89" s="32"/>
      <c r="L89" s="53">
        <v>30577</v>
      </c>
      <c r="M89" s="32"/>
      <c r="N89" s="32" t="s">
        <v>139</v>
      </c>
      <c r="O89" s="32"/>
      <c r="P89" s="52">
        <v>2.9219790660524668E-3</v>
      </c>
      <c r="Q89" s="32"/>
      <c r="R89" s="53">
        <v>48118</v>
      </c>
    </row>
    <row r="90" spans="2:18" x14ac:dyDescent="0.3">
      <c r="C90" s="10" t="s">
        <v>140</v>
      </c>
      <c r="D90" s="54">
        <v>3.5398021145540825E-4</v>
      </c>
      <c r="F90" s="55">
        <v>13913</v>
      </c>
      <c r="I90" s="10" t="s">
        <v>140</v>
      </c>
      <c r="J90" s="54">
        <v>9.406167482426855E-4</v>
      </c>
      <c r="L90" s="55">
        <v>8862</v>
      </c>
      <c r="O90" s="10" t="s">
        <v>140</v>
      </c>
      <c r="P90" s="54">
        <v>2.6585527975347479E-4</v>
      </c>
      <c r="R90" s="55">
        <v>4378</v>
      </c>
    </row>
    <row r="91" spans="2:18" x14ac:dyDescent="0.3">
      <c r="C91" s="10" t="s">
        <v>141</v>
      </c>
      <c r="D91" s="54">
        <v>7.617456717440467E-5</v>
      </c>
      <c r="F91" s="55">
        <v>2994</v>
      </c>
      <c r="I91" s="10" t="s">
        <v>141</v>
      </c>
      <c r="J91" s="54">
        <v>6.9840422065412671E-5</v>
      </c>
      <c r="L91" s="55">
        <v>658</v>
      </c>
      <c r="O91" s="10" t="s">
        <v>141</v>
      </c>
      <c r="P91" s="54">
        <v>1.4185425616814005E-4</v>
      </c>
      <c r="R91" s="55">
        <v>2336</v>
      </c>
    </row>
    <row r="92" spans="2:18" x14ac:dyDescent="0.3">
      <c r="C92" s="10" t="s">
        <v>142</v>
      </c>
      <c r="D92" s="54">
        <v>1.755526097205719E-4</v>
      </c>
      <c r="F92" s="55">
        <v>6900</v>
      </c>
      <c r="I92" s="10" t="s">
        <v>142</v>
      </c>
      <c r="J92" s="54">
        <v>4.1819340871994816E-5</v>
      </c>
      <c r="L92" s="55">
        <v>394</v>
      </c>
      <c r="O92" s="10" t="s">
        <v>142</v>
      </c>
      <c r="P92" s="54">
        <v>9.1087921340843348E-7</v>
      </c>
      <c r="R92" s="55">
        <v>15</v>
      </c>
    </row>
    <row r="93" spans="2:18" x14ac:dyDescent="0.3">
      <c r="C93" s="10" t="s">
        <v>143</v>
      </c>
      <c r="D93" s="54">
        <v>2.2623388487468481E-4</v>
      </c>
      <c r="F93" s="55">
        <v>8892</v>
      </c>
      <c r="I93" s="10" t="s">
        <v>143</v>
      </c>
      <c r="J93" s="54">
        <v>4.0386444674604135E-4</v>
      </c>
      <c r="L93" s="55">
        <v>3805</v>
      </c>
      <c r="O93" s="10" t="s">
        <v>143</v>
      </c>
      <c r="P93" s="54">
        <v>1.7324922639028406E-4</v>
      </c>
      <c r="R93" s="55">
        <v>2853</v>
      </c>
    </row>
    <row r="94" spans="2:18" x14ac:dyDescent="0.3">
      <c r="C94" s="10" t="s">
        <v>144</v>
      </c>
      <c r="D94" s="54">
        <v>4.4625982239113491E-5</v>
      </c>
      <c r="F94" s="55">
        <v>1754</v>
      </c>
      <c r="I94" s="10" t="s">
        <v>144</v>
      </c>
      <c r="J94" s="54">
        <v>1.4615541213384991E-4</v>
      </c>
      <c r="L94" s="55">
        <v>1377</v>
      </c>
      <c r="O94" s="10" t="s">
        <v>144</v>
      </c>
      <c r="P94" s="54">
        <v>1.4877693819004414E-5</v>
      </c>
      <c r="R94" s="55">
        <v>245</v>
      </c>
    </row>
    <row r="95" spans="2:18" x14ac:dyDescent="0.3">
      <c r="C95" s="10" t="s">
        <v>145</v>
      </c>
      <c r="D95" s="54">
        <v>5.5395753209362491E-4</v>
      </c>
      <c r="F95" s="55">
        <v>21773</v>
      </c>
      <c r="I95" s="10" t="s">
        <v>145</v>
      </c>
      <c r="J95" s="54">
        <v>4.5937590683754715E-4</v>
      </c>
      <c r="L95" s="55">
        <v>4328</v>
      </c>
      <c r="O95" s="10" t="s">
        <v>145</v>
      </c>
      <c r="P95" s="54">
        <v>9.7433713194255435E-4</v>
      </c>
      <c r="R95" s="55">
        <v>16045</v>
      </c>
    </row>
    <row r="96" spans="2:18" x14ac:dyDescent="0.3">
      <c r="C96" s="10" t="s">
        <v>146</v>
      </c>
      <c r="D96" s="54">
        <v>1.0118190921706411E-3</v>
      </c>
      <c r="F96" s="55">
        <v>39769</v>
      </c>
      <c r="I96" s="10" t="s">
        <v>146</v>
      </c>
      <c r="J96" s="54">
        <v>1.1838906804219041E-3</v>
      </c>
      <c r="L96" s="55">
        <v>11154</v>
      </c>
      <c r="O96" s="10" t="s">
        <v>146</v>
      </c>
      <c r="P96" s="54">
        <v>1.3508945987656007E-3</v>
      </c>
      <c r="R96" s="55">
        <v>22246</v>
      </c>
    </row>
    <row r="97" spans="1:18" x14ac:dyDescent="0.3">
      <c r="B97" s="32" t="s">
        <v>147</v>
      </c>
      <c r="C97" s="32"/>
      <c r="D97" s="52">
        <v>6.715907562340831E-2</v>
      </c>
      <c r="E97" s="32"/>
      <c r="F97" s="53">
        <v>2639651</v>
      </c>
      <c r="G97" s="32"/>
      <c r="H97" s="32" t="s">
        <v>147</v>
      </c>
      <c r="I97" s="32"/>
      <c r="J97" s="52">
        <v>1.6807766254933673E-2</v>
      </c>
      <c r="K97" s="32"/>
      <c r="L97" s="53">
        <v>158354</v>
      </c>
      <c r="M97" s="32"/>
      <c r="N97" s="32" t="s">
        <v>147</v>
      </c>
      <c r="O97" s="32"/>
      <c r="P97" s="52">
        <v>3.658764971666191E-2</v>
      </c>
      <c r="Q97" s="32"/>
      <c r="R97" s="53">
        <v>602511</v>
      </c>
    </row>
    <row r="98" spans="1:18" x14ac:dyDescent="0.3">
      <c r="C98" s="10" t="s">
        <v>148</v>
      </c>
      <c r="D98" s="54">
        <v>4.1000439212275598E-3</v>
      </c>
      <c r="F98" s="55">
        <v>161150</v>
      </c>
      <c r="I98" s="10" t="s">
        <v>148</v>
      </c>
      <c r="J98" s="54">
        <v>3.1704155123007239E-4</v>
      </c>
      <c r="L98" s="55">
        <v>2987</v>
      </c>
      <c r="O98" s="10" t="s">
        <v>148</v>
      </c>
      <c r="P98" s="54">
        <v>7.8127324639659223E-3</v>
      </c>
      <c r="R98" s="55">
        <v>128657</v>
      </c>
    </row>
    <row r="99" spans="1:18" x14ac:dyDescent="0.3">
      <c r="C99" s="10" t="s">
        <v>149</v>
      </c>
      <c r="D99" s="54">
        <v>5.2792104467948762E-2</v>
      </c>
      <c r="F99" s="55">
        <v>2074965</v>
      </c>
      <c r="I99" s="10" t="s">
        <v>149</v>
      </c>
      <c r="J99" s="54">
        <v>1.107044988058137E-2</v>
      </c>
      <c r="L99" s="55">
        <v>104300</v>
      </c>
      <c r="O99" s="10" t="s">
        <v>149</v>
      </c>
      <c r="P99" s="54">
        <v>1.4641472476327161E-2</v>
      </c>
      <c r="R99" s="55">
        <v>241110</v>
      </c>
    </row>
    <row r="100" spans="1:18" x14ac:dyDescent="0.3">
      <c r="C100" s="10" t="s">
        <v>150</v>
      </c>
      <c r="D100" s="54">
        <v>6.7523894300333424E-3</v>
      </c>
      <c r="F100" s="55">
        <v>265399</v>
      </c>
      <c r="I100" s="10" t="s">
        <v>150</v>
      </c>
      <c r="J100" s="54">
        <v>4.4673457816278928E-3</v>
      </c>
      <c r="L100" s="55">
        <v>42089</v>
      </c>
      <c r="O100" s="10" t="s">
        <v>150</v>
      </c>
      <c r="P100" s="54">
        <v>6.3338289730759893E-3</v>
      </c>
      <c r="R100" s="55">
        <v>104303</v>
      </c>
    </row>
    <row r="101" spans="1:18" x14ac:dyDescent="0.3">
      <c r="C101" s="10" t="s">
        <v>151</v>
      </c>
      <c r="D101" s="54">
        <v>3.5145378041986433E-3</v>
      </c>
      <c r="F101" s="55">
        <v>138137</v>
      </c>
      <c r="I101" s="10" t="s">
        <v>151</v>
      </c>
      <c r="J101" s="54">
        <v>9.5292904149433882E-4</v>
      </c>
      <c r="L101" s="55">
        <v>8978</v>
      </c>
      <c r="O101" s="10" t="s">
        <v>151</v>
      </c>
      <c r="P101" s="54">
        <v>7.7996158032928404E-3</v>
      </c>
      <c r="R101" s="55">
        <v>128441</v>
      </c>
    </row>
    <row r="102" spans="1:18" x14ac:dyDescent="0.3">
      <c r="B102" s="32" t="s">
        <v>152</v>
      </c>
      <c r="C102" s="32"/>
      <c r="D102" s="52">
        <v>9.8394413641180692E-2</v>
      </c>
      <c r="E102" s="32"/>
      <c r="F102" s="53">
        <v>3867339</v>
      </c>
      <c r="G102" s="32"/>
      <c r="H102" s="32" t="s">
        <v>152</v>
      </c>
      <c r="I102" s="32"/>
      <c r="J102" s="52">
        <v>0.20703800401593042</v>
      </c>
      <c r="K102" s="32"/>
      <c r="L102" s="53">
        <v>1950604</v>
      </c>
      <c r="M102" s="32"/>
      <c r="N102" s="32" t="s">
        <v>152</v>
      </c>
      <c r="O102" s="32"/>
      <c r="P102" s="52">
        <v>8.8046252746149009E-2</v>
      </c>
      <c r="Q102" s="32"/>
      <c r="R102" s="53">
        <v>1449911</v>
      </c>
    </row>
    <row r="103" spans="1:18" x14ac:dyDescent="0.3">
      <c r="B103" s="32"/>
      <c r="C103" s="62" t="s">
        <v>9</v>
      </c>
      <c r="D103" s="61">
        <f>D104</f>
        <v>1.1066327668640734E-2</v>
      </c>
      <c r="E103" s="32"/>
      <c r="F103" s="63">
        <f>F104</f>
        <v>434956</v>
      </c>
      <c r="G103" s="32"/>
      <c r="H103" s="32"/>
      <c r="I103" s="62" t="s">
        <v>9</v>
      </c>
      <c r="J103" s="61">
        <f>J104</f>
        <v>1.8636778645558585E-2</v>
      </c>
      <c r="K103" s="32"/>
      <c r="L103" s="63">
        <f>L104</f>
        <v>175586</v>
      </c>
      <c r="M103" s="32"/>
      <c r="N103" s="32"/>
      <c r="O103" s="62" t="s">
        <v>9</v>
      </c>
      <c r="P103" s="61">
        <f>P104</f>
        <v>1.2492708411896666E-2</v>
      </c>
      <c r="Q103" s="32"/>
      <c r="R103" s="63">
        <f>R104</f>
        <v>205725</v>
      </c>
    </row>
    <row r="104" spans="1:18" x14ac:dyDescent="0.3">
      <c r="A104" s="41">
        <v>1</v>
      </c>
      <c r="C104" s="10" t="s">
        <v>153</v>
      </c>
      <c r="D104" s="54">
        <v>1.1066327668640734E-2</v>
      </c>
      <c r="F104" s="55">
        <v>434956</v>
      </c>
      <c r="I104" s="10" t="s">
        <v>153</v>
      </c>
      <c r="J104" s="54">
        <v>1.8636778645558585E-2</v>
      </c>
      <c r="L104" s="55">
        <v>175586</v>
      </c>
      <c r="O104" s="10" t="s">
        <v>153</v>
      </c>
      <c r="P104" s="54">
        <v>1.2492708411896666E-2</v>
      </c>
      <c r="R104" s="55">
        <v>205725</v>
      </c>
    </row>
    <row r="105" spans="1:18" x14ac:dyDescent="0.3">
      <c r="C105" s="10" t="s">
        <v>154</v>
      </c>
      <c r="D105" s="54">
        <v>1.6396944499195092E-2</v>
      </c>
      <c r="F105" s="55">
        <v>644473</v>
      </c>
      <c r="I105" s="10" t="s">
        <v>154</v>
      </c>
      <c r="J105" s="54">
        <v>3.6172031606930465E-2</v>
      </c>
      <c r="L105" s="55">
        <v>340794</v>
      </c>
      <c r="O105" s="10" t="s">
        <v>154</v>
      </c>
      <c r="P105" s="54">
        <v>1.4282768242086919E-2</v>
      </c>
      <c r="R105" s="55">
        <v>235203</v>
      </c>
    </row>
    <row r="106" spans="1:18" x14ac:dyDescent="0.3">
      <c r="C106" s="10" t="s">
        <v>155</v>
      </c>
      <c r="D106" s="54">
        <v>3.0539030217361864E-3</v>
      </c>
      <c r="F106" s="55">
        <v>120032</v>
      </c>
      <c r="I106" s="10" t="s">
        <v>155</v>
      </c>
      <c r="J106" s="54">
        <v>6.0416210704944597E-3</v>
      </c>
      <c r="L106" s="55">
        <v>56921</v>
      </c>
      <c r="O106" s="10" t="s">
        <v>155</v>
      </c>
      <c r="P106" s="54">
        <v>2.84097154134001E-3</v>
      </c>
      <c r="R106" s="55">
        <v>46784</v>
      </c>
    </row>
    <row r="107" spans="1:18" x14ac:dyDescent="0.3">
      <c r="C107" s="10" t="s">
        <v>156</v>
      </c>
      <c r="D107" s="54">
        <v>5.0630390339701169E-5</v>
      </c>
      <c r="F107" s="55">
        <v>1990</v>
      </c>
      <c r="I107" s="10" t="s">
        <v>156</v>
      </c>
      <c r="J107" s="54">
        <v>1.9529844468139712E-4</v>
      </c>
      <c r="L107" s="55">
        <v>1840</v>
      </c>
      <c r="O107" s="10" t="s">
        <v>156</v>
      </c>
      <c r="P107" s="54">
        <v>0</v>
      </c>
      <c r="R107" s="55">
        <v>0</v>
      </c>
    </row>
    <row r="108" spans="1:18" x14ac:dyDescent="0.3">
      <c r="C108" s="10" t="s">
        <v>157</v>
      </c>
      <c r="D108" s="54">
        <v>2.277988473419185E-2</v>
      </c>
      <c r="F108" s="55">
        <v>895351</v>
      </c>
      <c r="I108" s="10" t="s">
        <v>157</v>
      </c>
      <c r="J108" s="54">
        <v>6.2738457808849096E-2</v>
      </c>
      <c r="L108" s="55">
        <v>591089</v>
      </c>
      <c r="O108" s="10" t="s">
        <v>157</v>
      </c>
      <c r="P108" s="54">
        <v>1.2132546770914972E-2</v>
      </c>
      <c r="R108" s="55">
        <v>199794</v>
      </c>
    </row>
    <row r="109" spans="1:18" x14ac:dyDescent="0.3">
      <c r="C109" s="10" t="s">
        <v>158</v>
      </c>
      <c r="D109" s="54">
        <v>3.7531112565681798E-3</v>
      </c>
      <c r="F109" s="55">
        <v>147514</v>
      </c>
      <c r="I109" s="10" t="s">
        <v>158</v>
      </c>
      <c r="J109" s="54">
        <v>2.5268859089837073E-3</v>
      </c>
      <c r="L109" s="55">
        <v>23807</v>
      </c>
      <c r="O109" s="10" t="s">
        <v>158</v>
      </c>
      <c r="P109" s="54">
        <v>5.9182251506381678E-3</v>
      </c>
      <c r="R109" s="55">
        <v>97459</v>
      </c>
    </row>
    <row r="110" spans="1:18" x14ac:dyDescent="0.3">
      <c r="C110" s="10" t="s">
        <v>159</v>
      </c>
      <c r="D110" s="54">
        <v>3.1170154570510922E-2</v>
      </c>
      <c r="F110" s="55">
        <v>1225126</v>
      </c>
      <c r="I110" s="10" t="s">
        <v>159</v>
      </c>
      <c r="J110" s="54">
        <v>6.8985142246259026E-2</v>
      </c>
      <c r="L110" s="55">
        <v>649942</v>
      </c>
      <c r="O110" s="10" t="s">
        <v>159</v>
      </c>
      <c r="P110" s="54">
        <v>2.5618660052954875E-2</v>
      </c>
      <c r="R110" s="55">
        <v>421878</v>
      </c>
    </row>
    <row r="111" spans="1:18" x14ac:dyDescent="0.3">
      <c r="C111" s="10" t="s">
        <v>160</v>
      </c>
      <c r="D111" s="54">
        <v>0</v>
      </c>
      <c r="F111" s="55">
        <v>0</v>
      </c>
      <c r="I111" s="10" t="s">
        <v>160</v>
      </c>
      <c r="J111" s="54">
        <v>0</v>
      </c>
      <c r="L111" s="55">
        <v>0</v>
      </c>
      <c r="O111" s="10" t="s">
        <v>160</v>
      </c>
      <c r="P111" s="54">
        <v>0</v>
      </c>
      <c r="R111" s="55">
        <v>0</v>
      </c>
    </row>
    <row r="112" spans="1:18" x14ac:dyDescent="0.3">
      <c r="C112" s="10" t="s">
        <v>161</v>
      </c>
      <c r="D112" s="54">
        <v>1.0123406615183617E-2</v>
      </c>
      <c r="F112" s="55">
        <v>397895</v>
      </c>
      <c r="I112" s="10" t="s">
        <v>161</v>
      </c>
      <c r="J112" s="54">
        <v>1.1741682143714606E-2</v>
      </c>
      <c r="L112" s="55">
        <v>110624</v>
      </c>
      <c r="O112" s="10" t="s">
        <v>161</v>
      </c>
      <c r="P112" s="54">
        <v>1.4760372576317408E-2</v>
      </c>
      <c r="R112" s="55">
        <v>243068</v>
      </c>
    </row>
    <row r="113" spans="2:18" x14ac:dyDescent="0.3">
      <c r="B113" s="342" t="s">
        <v>5</v>
      </c>
      <c r="C113" s="342"/>
      <c r="D113" s="52">
        <f>SUM(D4,D20,D29,D37,D55,D59,D81,D89,D97,D102)</f>
        <v>0.99999997455759282</v>
      </c>
      <c r="E113" s="32"/>
      <c r="F113" s="53">
        <v>39304457</v>
      </c>
      <c r="G113" s="32"/>
      <c r="H113" s="32" t="s">
        <v>5</v>
      </c>
      <c r="I113" s="32"/>
      <c r="J113" s="52">
        <f>SUM(J4,J20,J29,J37,J55,J59,J81,J89,J97,J102)</f>
        <v>0.99999999999999989</v>
      </c>
      <c r="K113" s="32"/>
      <c r="L113" s="53">
        <v>9421478</v>
      </c>
      <c r="M113" s="32"/>
      <c r="N113" s="32" t="s">
        <v>5</v>
      </c>
      <c r="O113" s="32"/>
      <c r="P113" s="52">
        <f>SUM(J4,J20,J29,J37,J55,J59,J81,J89,J97,J102)</f>
        <v>0.99999999999999989</v>
      </c>
      <c r="Q113" s="32"/>
      <c r="R113" s="53">
        <v>16467606</v>
      </c>
    </row>
    <row r="114" spans="2:18" x14ac:dyDescent="0.3">
      <c r="B114" s="342"/>
      <c r="C114" s="342"/>
      <c r="D114" s="54">
        <f>SUM(D5:D19,D21:D28,D30:D36,D38:D54,D56:D58,D61:D80,D82:D88,D90:D96,D98:D101,D104:D112)</f>
        <v>1.1992062884878425</v>
      </c>
      <c r="F114" s="55">
        <f>SUM(F4,F20,F29,F37,F55,F59,F81,F89,F97,F102)</f>
        <v>39304456</v>
      </c>
      <c r="J114" s="54">
        <f>SUM(J5:J19,J21:J28,J30:J36,J38:J54,J56:J58,J61:J80,J82:J88,J90:J96,J98:J101,J104:J112)</f>
        <v>1.1855738558217719</v>
      </c>
      <c r="L114" s="55">
        <f>SUM(L4,L20,L29,L37,L55,L59,L81,L89,L97,L102)</f>
        <v>9421478</v>
      </c>
      <c r="P114" s="54">
        <f>SUM(J5:J19,J21:J28,J30:J36,J38:J54,J56:J58,J61:J80,J82:J88,J90:J96,J98:J101,J104:J112)</f>
        <v>1.1855738558217719</v>
      </c>
      <c r="R114" s="55">
        <f>SUM(R4,R20,R29,R37,R55,R59,R81,R89,R97,R102)</f>
        <v>16467605</v>
      </c>
    </row>
    <row r="115" spans="2:18" x14ac:dyDescent="0.3">
      <c r="F115" s="55">
        <f>SUM(F5:F19,F21:F28,F30:F36,F38:F54,F56:F58,F61:F80,F82:F88,F90:F96,F98:F101,F104:F112)</f>
        <v>47134152</v>
      </c>
      <c r="L115" s="55">
        <f>SUM(L5:L19,L21:L28,L30:L36,L38:L54,L56:L58,L61:L80,L82:L88,L90:L96,L98:L101,L104:L112)</f>
        <v>11169858</v>
      </c>
      <c r="R115" s="55">
        <f>SUM(R5:R19,R21:R28,R30:R36,R38:R54,R56:R58,R61:R80,R82:R88,R90:R96,R98:R101,R104:R112)</f>
        <v>19996925</v>
      </c>
    </row>
    <row r="116" spans="2:18" x14ac:dyDescent="0.3">
      <c r="C116" s="10" t="s">
        <v>162</v>
      </c>
      <c r="D116" s="10">
        <v>892</v>
      </c>
      <c r="I116" s="10" t="s">
        <v>162</v>
      </c>
      <c r="J116" s="10">
        <v>122</v>
      </c>
      <c r="O116" s="10" t="s">
        <v>162</v>
      </c>
      <c r="P116" s="10">
        <v>281</v>
      </c>
    </row>
    <row r="117" spans="2:18" x14ac:dyDescent="0.3">
      <c r="C117" s="62" t="s">
        <v>178</v>
      </c>
      <c r="D117" s="61">
        <f>D16+D60+D69+D74+D103</f>
        <v>0.35935339343321798</v>
      </c>
      <c r="F117" s="63">
        <f>F16+F60+F69+F74+F103</f>
        <v>14124190</v>
      </c>
      <c r="I117" s="62" t="s">
        <v>178</v>
      </c>
      <c r="J117" s="61">
        <f>J16+J60+J69+J74+J103</f>
        <v>0.40373718433562122</v>
      </c>
      <c r="L117" s="63">
        <f>L16+L60+L69+L74+L103</f>
        <v>3803801</v>
      </c>
      <c r="O117" s="62" t="s">
        <v>178</v>
      </c>
      <c r="P117" s="61">
        <f>P16+P60+P69+P74+P103</f>
        <v>0.4269737204059898</v>
      </c>
      <c r="R117" s="63">
        <f>R16+R60+R69+R74+R103</f>
        <v>7031235</v>
      </c>
    </row>
  </sheetData>
  <mergeCells count="1">
    <mergeCell ref="B113:C1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workbookViewId="0">
      <selection activeCell="F6" sqref="F6"/>
    </sheetView>
  </sheetViews>
  <sheetFormatPr defaultColWidth="9.140625" defaultRowHeight="16.5" x14ac:dyDescent="0.3"/>
  <cols>
    <col min="1" max="1" width="9.140625" style="41"/>
    <col min="2" max="2" width="4.7109375" style="10" customWidth="1"/>
    <col min="3" max="3" width="70.7109375" style="10" customWidth="1"/>
    <col min="4" max="6" width="12.7109375" style="10" customWidth="1"/>
    <col min="7" max="7" width="9.140625" style="10"/>
    <col min="8" max="8" width="4.7109375" style="10" customWidth="1"/>
    <col min="9" max="9" width="70.7109375" style="10" customWidth="1"/>
    <col min="10" max="12" width="12.7109375" style="10" customWidth="1"/>
    <col min="13" max="13" width="9.140625" style="10"/>
    <col min="14" max="14" width="4.7109375" style="10" customWidth="1"/>
    <col min="15" max="15" width="70.7109375" style="10" customWidth="1"/>
    <col min="16" max="18" width="12.7109375" style="10" customWidth="1"/>
    <col min="19" max="16384" width="9.140625" style="10"/>
  </cols>
  <sheetData>
    <row r="1" spans="1:18" ht="18" thickBot="1" x14ac:dyDescent="0.35">
      <c r="B1" s="42" t="s">
        <v>49</v>
      </c>
      <c r="C1" s="43"/>
      <c r="D1" s="43"/>
      <c r="E1" s="43"/>
      <c r="F1" s="43"/>
      <c r="H1" s="42" t="s">
        <v>50</v>
      </c>
      <c r="I1" s="43"/>
      <c r="J1" s="43"/>
      <c r="K1" s="43"/>
      <c r="L1" s="43"/>
      <c r="N1" s="42" t="s">
        <v>51</v>
      </c>
      <c r="O1" s="43"/>
      <c r="P1" s="43"/>
      <c r="Q1" s="43"/>
      <c r="R1" s="43"/>
    </row>
    <row r="2" spans="1:18" ht="17.25" thickBot="1" x14ac:dyDescent="0.35">
      <c r="B2" s="44"/>
      <c r="C2" s="44"/>
      <c r="D2" s="45"/>
      <c r="E2" s="46"/>
      <c r="F2" s="47"/>
      <c r="H2" s="44"/>
      <c r="I2" s="44"/>
      <c r="J2" s="45"/>
      <c r="K2" s="46"/>
      <c r="L2" s="47"/>
      <c r="N2" s="44"/>
      <c r="O2" s="44"/>
      <c r="P2" s="45" t="s">
        <v>52</v>
      </c>
      <c r="Q2" s="46"/>
      <c r="R2" s="47"/>
    </row>
    <row r="3" spans="1:18" ht="33" x14ac:dyDescent="0.3">
      <c r="A3" s="48" t="s">
        <v>53</v>
      </c>
      <c r="B3" s="49" t="s">
        <v>54</v>
      </c>
      <c r="C3" s="44"/>
      <c r="D3" s="50" t="s">
        <v>55</v>
      </c>
      <c r="E3" s="51" t="s">
        <v>56</v>
      </c>
      <c r="F3" s="50" t="s">
        <v>57</v>
      </c>
      <c r="H3" s="49" t="s">
        <v>54</v>
      </c>
      <c r="I3" s="44"/>
      <c r="J3" s="50" t="s">
        <v>55</v>
      </c>
      <c r="K3" s="51" t="s">
        <v>56</v>
      </c>
      <c r="L3" s="50" t="s">
        <v>57</v>
      </c>
      <c r="N3" s="49" t="s">
        <v>54</v>
      </c>
      <c r="O3" s="44"/>
      <c r="P3" s="50" t="s">
        <v>55</v>
      </c>
      <c r="Q3" s="51" t="s">
        <v>56</v>
      </c>
      <c r="R3" s="50" t="s">
        <v>57</v>
      </c>
    </row>
    <row r="4" spans="1:18" x14ac:dyDescent="0.3">
      <c r="B4" s="32" t="s">
        <v>58</v>
      </c>
      <c r="C4" s="32"/>
      <c r="D4" s="52">
        <v>0.16603109413265779</v>
      </c>
      <c r="E4" s="32"/>
      <c r="F4" s="53">
        <v>6525762</v>
      </c>
      <c r="G4" s="32"/>
      <c r="H4" s="32" t="s">
        <v>58</v>
      </c>
      <c r="I4" s="32"/>
      <c r="J4" s="52">
        <v>0.1950196136954308</v>
      </c>
      <c r="K4" s="32"/>
      <c r="L4" s="53">
        <v>1837373</v>
      </c>
      <c r="M4" s="32"/>
      <c r="N4" s="32" t="s">
        <v>58</v>
      </c>
      <c r="O4" s="32"/>
      <c r="P4" s="52">
        <v>0.24173908460039667</v>
      </c>
      <c r="Q4" s="32"/>
      <c r="R4" s="53">
        <v>3980864</v>
      </c>
    </row>
    <row r="5" spans="1:18" x14ac:dyDescent="0.3">
      <c r="A5" s="41">
        <v>1</v>
      </c>
      <c r="C5" s="10" t="s">
        <v>59</v>
      </c>
      <c r="D5" s="54">
        <v>5.1835342744971646E-2</v>
      </c>
      <c r="F5" s="55">
        <v>2037360</v>
      </c>
      <c r="I5" s="10" t="s">
        <v>59</v>
      </c>
      <c r="J5" s="54">
        <v>2.0702165838523426E-2</v>
      </c>
      <c r="L5" s="55">
        <v>195045</v>
      </c>
      <c r="O5" s="10" t="s">
        <v>59</v>
      </c>
      <c r="P5" s="54">
        <v>9.4326643472038382E-2</v>
      </c>
      <c r="R5" s="55">
        <v>1553334</v>
      </c>
    </row>
    <row r="6" spans="1:18" x14ac:dyDescent="0.3">
      <c r="A6" s="41">
        <v>1</v>
      </c>
      <c r="C6" s="10" t="s">
        <v>60</v>
      </c>
      <c r="D6" s="54">
        <v>7.4413952595757784E-4</v>
      </c>
      <c r="F6" s="55">
        <v>29248</v>
      </c>
      <c r="I6" s="10" t="s">
        <v>60</v>
      </c>
      <c r="J6" s="54">
        <v>1.4760953642305378E-3</v>
      </c>
      <c r="L6" s="55">
        <v>13907</v>
      </c>
      <c r="O6" s="10" t="s">
        <v>60</v>
      </c>
      <c r="P6" s="54">
        <v>6.4113751567774937E-4</v>
      </c>
      <c r="R6" s="55">
        <v>10558</v>
      </c>
    </row>
    <row r="7" spans="1:18" x14ac:dyDescent="0.3">
      <c r="A7" s="41">
        <v>1</v>
      </c>
      <c r="C7" s="10" t="s">
        <v>61</v>
      </c>
      <c r="D7" s="54">
        <v>4.0507365360625642E-3</v>
      </c>
      <c r="F7" s="55">
        <v>159212</v>
      </c>
      <c r="I7" s="10" t="s">
        <v>61</v>
      </c>
      <c r="J7" s="54">
        <v>6.4589653555418803E-3</v>
      </c>
      <c r="L7" s="55">
        <v>60853</v>
      </c>
      <c r="O7" s="10" t="s">
        <v>61</v>
      </c>
      <c r="P7" s="54">
        <v>5.1975375169894152E-3</v>
      </c>
      <c r="R7" s="55">
        <v>85591</v>
      </c>
    </row>
    <row r="8" spans="1:18" x14ac:dyDescent="0.3">
      <c r="A8" s="41">
        <v>1</v>
      </c>
      <c r="C8" s="10" t="s">
        <v>62</v>
      </c>
      <c r="D8" s="54">
        <v>7.0336297992871395E-3</v>
      </c>
      <c r="F8" s="55">
        <v>276453</v>
      </c>
      <c r="I8" s="10" t="s">
        <v>62</v>
      </c>
      <c r="J8" s="54">
        <v>1.1102185877842096E-2</v>
      </c>
      <c r="L8" s="55">
        <v>104599</v>
      </c>
      <c r="O8" s="10" t="s">
        <v>62</v>
      </c>
      <c r="P8" s="54">
        <v>7.5304206330902013E-3</v>
      </c>
      <c r="R8" s="55">
        <v>124008</v>
      </c>
    </row>
    <row r="9" spans="1:18" x14ac:dyDescent="0.3">
      <c r="A9" s="41">
        <v>1</v>
      </c>
      <c r="C9" s="10" t="s">
        <v>63</v>
      </c>
      <c r="D9" s="54">
        <v>3.9858583976875705E-3</v>
      </c>
      <c r="F9" s="55">
        <v>156662</v>
      </c>
      <c r="I9" s="10" t="s">
        <v>63</v>
      </c>
      <c r="J9" s="54">
        <v>3.8570381419985272E-3</v>
      </c>
      <c r="L9" s="55">
        <v>36339</v>
      </c>
      <c r="O9" s="10" t="s">
        <v>63</v>
      </c>
      <c r="P9" s="54">
        <v>6.8594062792126558E-3</v>
      </c>
      <c r="R9" s="55">
        <v>112958</v>
      </c>
    </row>
    <row r="10" spans="1:18" x14ac:dyDescent="0.3">
      <c r="A10" s="41">
        <v>1</v>
      </c>
      <c r="C10" s="10" t="s">
        <v>64</v>
      </c>
      <c r="D10" s="54">
        <v>4.1206013862499103E-3</v>
      </c>
      <c r="F10" s="55">
        <v>161958</v>
      </c>
      <c r="I10" s="10" t="s">
        <v>64</v>
      </c>
      <c r="J10" s="54">
        <v>7.2398407128902702E-3</v>
      </c>
      <c r="L10" s="55">
        <v>68210</v>
      </c>
      <c r="O10" s="10" t="s">
        <v>64</v>
      </c>
      <c r="P10" s="54">
        <v>4.4868695546881558E-3</v>
      </c>
      <c r="R10" s="55">
        <v>73888</v>
      </c>
    </row>
    <row r="11" spans="1:18" x14ac:dyDescent="0.3">
      <c r="A11" s="41">
        <v>1</v>
      </c>
      <c r="C11" s="10" t="s">
        <v>65</v>
      </c>
      <c r="D11" s="54">
        <v>1.1641529610751268E-2</v>
      </c>
      <c r="F11" s="55">
        <v>457564</v>
      </c>
      <c r="I11" s="10" t="s">
        <v>65</v>
      </c>
      <c r="J11" s="54">
        <v>2.1909619700857974E-2</v>
      </c>
      <c r="L11" s="55">
        <v>206421</v>
      </c>
      <c r="O11" s="10" t="s">
        <v>65</v>
      </c>
      <c r="P11" s="54">
        <v>1.2931327115793274E-2</v>
      </c>
      <c r="R11" s="55">
        <v>212948</v>
      </c>
    </row>
    <row r="12" spans="1:18" x14ac:dyDescent="0.3">
      <c r="A12" s="41">
        <v>1</v>
      </c>
      <c r="C12" s="10" t="s">
        <v>66</v>
      </c>
      <c r="D12" s="54">
        <v>1.4242125263300293E-2</v>
      </c>
      <c r="F12" s="55">
        <v>559779</v>
      </c>
      <c r="I12" s="10" t="s">
        <v>66</v>
      </c>
      <c r="J12" s="54">
        <v>2.2534150162002182E-2</v>
      </c>
      <c r="L12" s="55">
        <v>212305</v>
      </c>
      <c r="O12" s="10" t="s">
        <v>66</v>
      </c>
      <c r="P12" s="54">
        <v>1.8256752074345232E-2</v>
      </c>
      <c r="R12" s="55">
        <v>300645</v>
      </c>
    </row>
    <row r="13" spans="1:18" x14ac:dyDescent="0.3">
      <c r="A13" s="41">
        <v>1</v>
      </c>
      <c r="C13" s="10" t="s">
        <v>67</v>
      </c>
      <c r="D13" s="54">
        <v>8.9805336834954883E-3</v>
      </c>
      <c r="F13" s="55">
        <v>352975</v>
      </c>
      <c r="I13" s="10" t="s">
        <v>67</v>
      </c>
      <c r="J13" s="54">
        <v>1.4472994576859384E-2</v>
      </c>
      <c r="L13" s="55">
        <v>136357</v>
      </c>
      <c r="O13" s="10" t="s">
        <v>67</v>
      </c>
      <c r="P13" s="54">
        <v>8.8448193380385714E-3</v>
      </c>
      <c r="R13" s="55">
        <v>145653</v>
      </c>
    </row>
    <row r="14" spans="1:18" x14ac:dyDescent="0.3">
      <c r="A14" s="41">
        <v>1</v>
      </c>
      <c r="C14" s="10" t="s">
        <v>68</v>
      </c>
      <c r="D14" s="54">
        <v>7.1243828657905131E-4</v>
      </c>
      <c r="F14" s="55">
        <v>28002</v>
      </c>
      <c r="I14" s="10" t="s">
        <v>68</v>
      </c>
      <c r="J14" s="54">
        <v>1.2811153409263388E-3</v>
      </c>
      <c r="L14" s="55">
        <v>12070</v>
      </c>
      <c r="O14" s="10" t="s">
        <v>68</v>
      </c>
      <c r="P14" s="54">
        <v>8.5003248195275019E-4</v>
      </c>
      <c r="R14" s="55">
        <v>13998</v>
      </c>
    </row>
    <row r="15" spans="1:18" x14ac:dyDescent="0.3">
      <c r="A15" s="41">
        <v>1</v>
      </c>
      <c r="C15" s="10" t="s">
        <v>69</v>
      </c>
      <c r="D15" s="54">
        <v>1.1898396153901833E-3</v>
      </c>
      <c r="F15" s="55">
        <v>46766</v>
      </c>
      <c r="I15" s="10" t="s">
        <v>69</v>
      </c>
      <c r="J15" s="54">
        <v>1.4479681425780542E-3</v>
      </c>
      <c r="L15" s="55">
        <v>13642</v>
      </c>
      <c r="O15" s="10" t="s">
        <v>69</v>
      </c>
      <c r="P15" s="54">
        <v>1.7875700936736039E-3</v>
      </c>
      <c r="R15" s="55">
        <v>29437</v>
      </c>
    </row>
    <row r="16" spans="1:18" x14ac:dyDescent="0.3">
      <c r="A16" s="41">
        <v>1</v>
      </c>
      <c r="C16" s="10" t="s">
        <v>70</v>
      </c>
      <c r="D16" s="54">
        <v>1.3112838577060103E-2</v>
      </c>
      <c r="F16" s="55">
        <v>515393</v>
      </c>
      <c r="I16" s="10" t="s">
        <v>70</v>
      </c>
      <c r="J16" s="54">
        <v>1.3514864652870813E-2</v>
      </c>
      <c r="L16" s="55">
        <v>127330</v>
      </c>
      <c r="O16" s="10" t="s">
        <v>70</v>
      </c>
      <c r="P16" s="54">
        <v>2.2129567588634318E-2</v>
      </c>
      <c r="R16" s="55">
        <v>364421</v>
      </c>
    </row>
    <row r="17" spans="1:18" x14ac:dyDescent="0.3">
      <c r="A17" s="41">
        <v>1</v>
      </c>
      <c r="C17" s="10" t="s">
        <v>71</v>
      </c>
      <c r="D17" s="54">
        <v>3.896056877213696E-2</v>
      </c>
      <c r="F17" s="55">
        <v>1531324</v>
      </c>
      <c r="I17" s="10" t="s">
        <v>71</v>
      </c>
      <c r="J17" s="54">
        <v>6.6583608219432239E-2</v>
      </c>
      <c r="L17" s="55">
        <v>627316</v>
      </c>
      <c r="O17" s="10" t="s">
        <v>71</v>
      </c>
      <c r="P17" s="54">
        <v>4.9363095036400552E-2</v>
      </c>
      <c r="R17" s="55">
        <v>812892</v>
      </c>
    </row>
    <row r="18" spans="1:18" x14ac:dyDescent="0.3">
      <c r="A18" s="41">
        <v>1</v>
      </c>
      <c r="C18" s="10" t="s">
        <v>72</v>
      </c>
      <c r="D18" s="54">
        <v>5.4209373761352304E-3</v>
      </c>
      <c r="F18" s="55">
        <v>213067</v>
      </c>
      <c r="I18" s="10" t="s">
        <v>72</v>
      </c>
      <c r="J18" s="54">
        <v>2.4391077493361446E-3</v>
      </c>
      <c r="L18" s="55">
        <v>22980</v>
      </c>
      <c r="O18" s="10" t="s">
        <v>72</v>
      </c>
      <c r="P18" s="54">
        <v>8.5339058998618253E-3</v>
      </c>
      <c r="R18" s="55">
        <v>140533</v>
      </c>
    </row>
    <row r="19" spans="1:18" x14ac:dyDescent="0.3">
      <c r="B19" s="32" t="s">
        <v>73</v>
      </c>
      <c r="C19" s="32"/>
      <c r="D19" s="52">
        <v>1.6765325113129028E-2</v>
      </c>
      <c r="E19" s="32"/>
      <c r="F19" s="53">
        <v>658952</v>
      </c>
      <c r="G19" s="32"/>
      <c r="H19" s="32" t="s">
        <v>73</v>
      </c>
      <c r="I19" s="32"/>
      <c r="J19" s="52">
        <v>2.1821735400751347E-2</v>
      </c>
      <c r="K19" s="32"/>
      <c r="L19" s="53">
        <v>205593</v>
      </c>
      <c r="M19" s="32"/>
      <c r="N19" s="32" t="s">
        <v>73</v>
      </c>
      <c r="O19" s="32"/>
      <c r="P19" s="52">
        <v>1.7845884823817135E-2</v>
      </c>
      <c r="Q19" s="32"/>
      <c r="R19" s="53">
        <v>293879</v>
      </c>
    </row>
    <row r="20" spans="1:18" x14ac:dyDescent="0.3">
      <c r="C20" s="10" t="s">
        <v>74</v>
      </c>
      <c r="D20" s="54">
        <v>3.9972565961158045E-3</v>
      </c>
      <c r="F20" s="55">
        <v>157110</v>
      </c>
      <c r="I20" s="10" t="s">
        <v>74</v>
      </c>
      <c r="J20" s="54">
        <v>4.5559730649479841E-3</v>
      </c>
      <c r="L20" s="55">
        <v>42924</v>
      </c>
      <c r="O20" s="10" t="s">
        <v>74</v>
      </c>
      <c r="P20" s="54">
        <v>4.0626427423634016E-3</v>
      </c>
      <c r="R20" s="55">
        <v>66902</v>
      </c>
    </row>
    <row r="21" spans="1:18" x14ac:dyDescent="0.3">
      <c r="C21" s="10" t="s">
        <v>75</v>
      </c>
      <c r="D21" s="54">
        <v>4.6452747076495679E-3</v>
      </c>
      <c r="F21" s="55">
        <v>182580</v>
      </c>
      <c r="I21" s="10" t="s">
        <v>75</v>
      </c>
      <c r="J21" s="54">
        <v>6.9250281113005839E-3</v>
      </c>
      <c r="L21" s="55">
        <v>65244</v>
      </c>
      <c r="O21" s="10" t="s">
        <v>75</v>
      </c>
      <c r="P21" s="54">
        <v>4.101142570450131E-3</v>
      </c>
      <c r="R21" s="55">
        <v>67536</v>
      </c>
    </row>
    <row r="22" spans="1:18" x14ac:dyDescent="0.3">
      <c r="C22" s="10" t="s">
        <v>76</v>
      </c>
      <c r="D22" s="54">
        <v>6.5677029961258592E-4</v>
      </c>
      <c r="F22" s="55">
        <v>25814</v>
      </c>
      <c r="I22" s="10" t="s">
        <v>76</v>
      </c>
      <c r="J22" s="54">
        <v>5.815435752224863E-4</v>
      </c>
      <c r="L22" s="55">
        <v>5479</v>
      </c>
      <c r="O22" s="10" t="s">
        <v>76</v>
      </c>
      <c r="P22" s="54">
        <v>1.137384511142664E-3</v>
      </c>
      <c r="R22" s="55">
        <v>18730</v>
      </c>
    </row>
    <row r="23" spans="1:18" x14ac:dyDescent="0.3">
      <c r="C23" s="10" t="s">
        <v>77</v>
      </c>
      <c r="D23" s="54">
        <v>2.8445628952462059E-3</v>
      </c>
      <c r="F23" s="55">
        <v>111804</v>
      </c>
      <c r="I23" s="10" t="s">
        <v>77</v>
      </c>
      <c r="J23" s="54">
        <v>4.2985824517129904E-3</v>
      </c>
      <c r="L23" s="55">
        <v>40499</v>
      </c>
      <c r="O23" s="10" t="s">
        <v>77</v>
      </c>
      <c r="P23" s="54">
        <v>3.9744696345054651E-3</v>
      </c>
      <c r="R23" s="55">
        <v>65450</v>
      </c>
    </row>
    <row r="24" spans="1:18" x14ac:dyDescent="0.3">
      <c r="C24" s="10" t="s">
        <v>78</v>
      </c>
      <c r="D24" s="54">
        <v>2.0838094773831884E-3</v>
      </c>
      <c r="F24" s="55">
        <v>81903</v>
      </c>
      <c r="I24" s="10" t="s">
        <v>78</v>
      </c>
      <c r="J24" s="54">
        <v>3.2544787558809775E-3</v>
      </c>
      <c r="L24" s="55">
        <v>30662</v>
      </c>
      <c r="O24" s="10" t="s">
        <v>78</v>
      </c>
      <c r="P24" s="54">
        <v>2.3855926599166874E-3</v>
      </c>
      <c r="R24" s="55">
        <v>39285</v>
      </c>
    </row>
    <row r="25" spans="1:18" x14ac:dyDescent="0.3">
      <c r="C25" s="10" t="s">
        <v>79</v>
      </c>
      <c r="D25" s="54">
        <v>4.2755965309481314E-4</v>
      </c>
      <c r="F25" s="55">
        <v>16805</v>
      </c>
      <c r="I25" s="10" t="s">
        <v>79</v>
      </c>
      <c r="J25" s="54">
        <v>6.0478833575793522E-4</v>
      </c>
      <c r="L25" s="55">
        <v>5698</v>
      </c>
      <c r="O25" s="10" t="s">
        <v>79</v>
      </c>
      <c r="P25" s="54">
        <v>3.6101179491420917E-4</v>
      </c>
      <c r="R25" s="55">
        <v>5945</v>
      </c>
    </row>
    <row r="26" spans="1:18" x14ac:dyDescent="0.3">
      <c r="C26" s="10" t="s">
        <v>80</v>
      </c>
      <c r="D26" s="54">
        <v>1.6107588002042619E-4</v>
      </c>
      <c r="F26" s="55">
        <v>6331</v>
      </c>
      <c r="I26" s="10" t="s">
        <v>80</v>
      </c>
      <c r="J26" s="54">
        <v>1.3087118602834926E-4</v>
      </c>
      <c r="L26" s="55">
        <v>1233</v>
      </c>
      <c r="O26" s="10" t="s">
        <v>80</v>
      </c>
      <c r="P26" s="54">
        <v>2.0494782301689753E-4</v>
      </c>
      <c r="R26" s="55">
        <v>3375</v>
      </c>
    </row>
    <row r="27" spans="1:18" x14ac:dyDescent="0.3">
      <c r="C27" s="10" t="s">
        <v>81</v>
      </c>
      <c r="D27" s="54">
        <v>1.9490156040064361E-3</v>
      </c>
      <c r="F27" s="55">
        <v>76605</v>
      </c>
      <c r="I27" s="10" t="s">
        <v>81</v>
      </c>
      <c r="J27" s="54">
        <v>1.4704699199000412E-3</v>
      </c>
      <c r="L27" s="55">
        <v>13854</v>
      </c>
      <c r="O27" s="10" t="s">
        <v>81</v>
      </c>
      <c r="P27" s="54">
        <v>1.6186323622267864E-3</v>
      </c>
      <c r="R27" s="55">
        <v>26655</v>
      </c>
    </row>
    <row r="28" spans="1:18" x14ac:dyDescent="0.3">
      <c r="B28" s="32" t="s">
        <v>82</v>
      </c>
      <c r="C28" s="32"/>
      <c r="D28" s="52">
        <v>4.6079608732414241E-2</v>
      </c>
      <c r="E28" s="32"/>
      <c r="F28" s="53">
        <v>1811134</v>
      </c>
      <c r="G28" s="32"/>
      <c r="H28" s="32" t="s">
        <v>82</v>
      </c>
      <c r="I28" s="32"/>
      <c r="J28" s="52">
        <v>4.0799224919911718E-2</v>
      </c>
      <c r="K28" s="32"/>
      <c r="L28" s="53">
        <v>384389</v>
      </c>
      <c r="M28" s="32"/>
      <c r="N28" s="32" t="s">
        <v>82</v>
      </c>
      <c r="O28" s="32"/>
      <c r="P28" s="52">
        <v>4.4203692995812505E-2</v>
      </c>
      <c r="Q28" s="32"/>
      <c r="R28" s="53">
        <v>727929</v>
      </c>
    </row>
    <row r="29" spans="1:18" x14ac:dyDescent="0.3">
      <c r="C29" s="10" t="s">
        <v>83</v>
      </c>
      <c r="D29" s="54">
        <v>9.8951373377324618E-3</v>
      </c>
      <c r="F29" s="55">
        <v>388923</v>
      </c>
      <c r="I29" s="10" t="s">
        <v>83</v>
      </c>
      <c r="J29" s="54">
        <v>1.0081751504381797E-2</v>
      </c>
      <c r="L29" s="55">
        <v>94985</v>
      </c>
      <c r="O29" s="10" t="s">
        <v>83</v>
      </c>
      <c r="P29" s="54">
        <v>1.3264223105653608E-3</v>
      </c>
      <c r="R29" s="55">
        <v>21843</v>
      </c>
    </row>
    <row r="30" spans="1:18" x14ac:dyDescent="0.3">
      <c r="C30" s="10" t="s">
        <v>84</v>
      </c>
      <c r="D30" s="54">
        <v>1.0384343943487121E-2</v>
      </c>
      <c r="F30" s="55">
        <v>408151</v>
      </c>
      <c r="I30" s="10" t="s">
        <v>84</v>
      </c>
      <c r="J30" s="54">
        <v>4.7927724291241779E-3</v>
      </c>
      <c r="L30" s="55">
        <v>45155</v>
      </c>
      <c r="O30" s="10" t="s">
        <v>84</v>
      </c>
      <c r="P30" s="54">
        <v>5.9753676399593239E-5</v>
      </c>
      <c r="R30" s="55">
        <v>984</v>
      </c>
    </row>
    <row r="31" spans="1:18" x14ac:dyDescent="0.3">
      <c r="C31" s="10" t="s">
        <v>85</v>
      </c>
      <c r="D31" s="54">
        <v>1.3441223726866397E-3</v>
      </c>
      <c r="F31" s="55">
        <v>52830</v>
      </c>
      <c r="I31" s="10" t="s">
        <v>85</v>
      </c>
      <c r="J31" s="54">
        <v>9.0472004498657211E-3</v>
      </c>
      <c r="L31" s="55">
        <v>85238</v>
      </c>
      <c r="O31" s="10" t="s">
        <v>85</v>
      </c>
      <c r="P31" s="54">
        <v>5.1474998855328457E-3</v>
      </c>
      <c r="R31" s="55">
        <v>84767</v>
      </c>
    </row>
    <row r="32" spans="1:18" x14ac:dyDescent="0.3">
      <c r="C32" s="10" t="s">
        <v>86</v>
      </c>
      <c r="D32" s="54">
        <v>7.6270485049570839E-3</v>
      </c>
      <c r="F32" s="55">
        <v>299777</v>
      </c>
      <c r="I32" s="10" t="s">
        <v>86</v>
      </c>
      <c r="J32" s="54">
        <v>2.2255531456953992E-3</v>
      </c>
      <c r="L32" s="55">
        <v>20968</v>
      </c>
      <c r="O32" s="10" t="s">
        <v>86</v>
      </c>
      <c r="P32" s="54">
        <v>9.7918908188597657E-3</v>
      </c>
      <c r="R32" s="55">
        <v>161249</v>
      </c>
    </row>
    <row r="33" spans="2:18" x14ac:dyDescent="0.3">
      <c r="C33" s="10" t="s">
        <v>87</v>
      </c>
      <c r="D33" s="54">
        <v>4.9603025936727739E-3</v>
      </c>
      <c r="F33" s="55">
        <v>194962</v>
      </c>
      <c r="I33" s="10" t="s">
        <v>87</v>
      </c>
      <c r="J33" s="54">
        <v>2.7447922714461572E-4</v>
      </c>
      <c r="L33" s="55">
        <v>2586</v>
      </c>
      <c r="O33" s="10" t="s">
        <v>87</v>
      </c>
      <c r="P33" s="54">
        <v>9.4152726267558266E-3</v>
      </c>
      <c r="R33" s="55">
        <v>155047</v>
      </c>
    </row>
    <row r="34" spans="2:18" x14ac:dyDescent="0.3">
      <c r="C34" s="10" t="s">
        <v>88</v>
      </c>
      <c r="D34" s="54">
        <v>1.3777063501984013E-4</v>
      </c>
      <c r="F34" s="55">
        <v>5415</v>
      </c>
      <c r="I34" s="10" t="s">
        <v>88</v>
      </c>
      <c r="J34" s="54">
        <v>8.9800135392769584E-3</v>
      </c>
      <c r="L34" s="55">
        <v>84605</v>
      </c>
      <c r="O34" s="10" t="s">
        <v>88</v>
      </c>
      <c r="P34" s="54">
        <v>1.354513825506877E-2</v>
      </c>
      <c r="R34" s="55">
        <v>223056</v>
      </c>
    </row>
    <row r="35" spans="2:18" x14ac:dyDescent="0.3">
      <c r="C35" s="10" t="s">
        <v>89</v>
      </c>
      <c r="D35" s="54">
        <v>1.1730908787265525E-2</v>
      </c>
      <c r="F35" s="55">
        <v>461077</v>
      </c>
      <c r="I35" s="10" t="s">
        <v>89</v>
      </c>
      <c r="J35" s="54">
        <v>5.3974546244230466E-3</v>
      </c>
      <c r="L35" s="55">
        <v>50852</v>
      </c>
      <c r="O35" s="10" t="s">
        <v>89</v>
      </c>
      <c r="P35" s="54">
        <v>4.9177761479112384E-3</v>
      </c>
      <c r="R35" s="55">
        <v>80984</v>
      </c>
    </row>
    <row r="36" spans="2:18" x14ac:dyDescent="0.3">
      <c r="B36" s="32" t="s">
        <v>90</v>
      </c>
      <c r="C36" s="32"/>
      <c r="D36" s="52">
        <v>0.11510277320457575</v>
      </c>
      <c r="E36" s="32"/>
      <c r="F36" s="53">
        <v>4524052</v>
      </c>
      <c r="G36" s="32"/>
      <c r="H36" s="32" t="s">
        <v>90</v>
      </c>
      <c r="I36" s="32"/>
      <c r="J36" s="52">
        <v>0.13942631930998511</v>
      </c>
      <c r="K36" s="32"/>
      <c r="L36" s="53">
        <v>1313602</v>
      </c>
      <c r="M36" s="32"/>
      <c r="N36" s="32" t="s">
        <v>90</v>
      </c>
      <c r="O36" s="32"/>
      <c r="P36" s="52">
        <v>0.14396203066796717</v>
      </c>
      <c r="Q36" s="32"/>
      <c r="R36" s="53">
        <v>2370710</v>
      </c>
    </row>
    <row r="37" spans="2:18" x14ac:dyDescent="0.3">
      <c r="C37" s="10" t="s">
        <v>91</v>
      </c>
      <c r="D37" s="54">
        <v>3.2670595093070489E-3</v>
      </c>
      <c r="F37" s="55">
        <v>128410</v>
      </c>
      <c r="I37" s="10" t="s">
        <v>91</v>
      </c>
      <c r="J37" s="54">
        <v>4.7234627093540949E-3</v>
      </c>
      <c r="L37" s="55">
        <v>44502</v>
      </c>
      <c r="O37" s="10" t="s">
        <v>91</v>
      </c>
      <c r="P37" s="54">
        <v>3.86449615080662E-3</v>
      </c>
      <c r="R37" s="55">
        <v>63639</v>
      </c>
    </row>
    <row r="38" spans="2:18" x14ac:dyDescent="0.3">
      <c r="C38" s="10" t="s">
        <v>92</v>
      </c>
      <c r="D38" s="54">
        <v>1.4974128761020666E-3</v>
      </c>
      <c r="F38" s="55">
        <v>58855</v>
      </c>
      <c r="I38" s="10" t="s">
        <v>92</v>
      </c>
      <c r="J38" s="54">
        <v>3.1620304160345117E-3</v>
      </c>
      <c r="L38" s="55">
        <v>29791</v>
      </c>
      <c r="O38" s="10" t="s">
        <v>92</v>
      </c>
      <c r="P38" s="54">
        <v>1.1907620330483982E-3</v>
      </c>
      <c r="R38" s="55">
        <v>19609</v>
      </c>
    </row>
    <row r="39" spans="2:18" x14ac:dyDescent="0.3">
      <c r="C39" s="10" t="s">
        <v>93</v>
      </c>
      <c r="D39" s="54">
        <v>2.895167843178701E-3</v>
      </c>
      <c r="F39" s="55">
        <v>113793</v>
      </c>
      <c r="I39" s="10" t="s">
        <v>93</v>
      </c>
      <c r="J39" s="54">
        <v>4.5833573033870053E-3</v>
      </c>
      <c r="L39" s="55">
        <v>43182</v>
      </c>
      <c r="O39" s="10" t="s">
        <v>93</v>
      </c>
      <c r="P39" s="54">
        <v>3.3975187407325629E-3</v>
      </c>
      <c r="R39" s="55">
        <v>55949</v>
      </c>
    </row>
    <row r="40" spans="2:18" x14ac:dyDescent="0.3">
      <c r="C40" s="10" t="s">
        <v>94</v>
      </c>
      <c r="D40" s="54">
        <v>1.87612310736159E-4</v>
      </c>
      <c r="F40" s="55">
        <v>7374</v>
      </c>
      <c r="I40" s="10" t="s">
        <v>94</v>
      </c>
      <c r="J40" s="54">
        <v>4.9514524154278133E-4</v>
      </c>
      <c r="L40" s="55">
        <v>4665</v>
      </c>
      <c r="O40" s="10" t="s">
        <v>94</v>
      </c>
      <c r="P40" s="54">
        <v>1.0031816403671548E-4</v>
      </c>
      <c r="R40" s="55">
        <v>1652</v>
      </c>
    </row>
    <row r="41" spans="2:18" x14ac:dyDescent="0.3">
      <c r="C41" s="10" t="s">
        <v>95</v>
      </c>
      <c r="D41" s="54">
        <v>4.0204091866731552E-3</v>
      </c>
      <c r="F41" s="55">
        <v>158020</v>
      </c>
      <c r="I41" s="10" t="s">
        <v>95</v>
      </c>
      <c r="J41" s="54">
        <v>5.6516610238860612E-3</v>
      </c>
      <c r="L41" s="55">
        <v>53247</v>
      </c>
      <c r="O41" s="10" t="s">
        <v>95</v>
      </c>
      <c r="P41" s="54">
        <v>5.2568053911418574E-3</v>
      </c>
      <c r="R41" s="55">
        <v>86567</v>
      </c>
    </row>
    <row r="42" spans="2:18" x14ac:dyDescent="0.3">
      <c r="C42" s="10" t="s">
        <v>96</v>
      </c>
      <c r="D42" s="54">
        <v>6.5509110073699785E-4</v>
      </c>
      <c r="F42" s="55">
        <v>25748</v>
      </c>
      <c r="I42" s="10" t="s">
        <v>96</v>
      </c>
      <c r="J42" s="54">
        <v>6.1253658926975149E-4</v>
      </c>
      <c r="L42" s="55">
        <v>5771</v>
      </c>
      <c r="O42" s="10" t="s">
        <v>96</v>
      </c>
      <c r="P42" s="54">
        <v>1.1447929954117191E-3</v>
      </c>
      <c r="R42" s="55">
        <v>18852</v>
      </c>
    </row>
    <row r="43" spans="2:18" x14ac:dyDescent="0.3">
      <c r="C43" s="10" t="s">
        <v>97</v>
      </c>
      <c r="D43" s="54">
        <v>6.1739563022076603E-3</v>
      </c>
      <c r="F43" s="55">
        <v>242664</v>
      </c>
      <c r="I43" s="10" t="s">
        <v>97</v>
      </c>
      <c r="J43" s="54">
        <v>1.1104414827482482E-2</v>
      </c>
      <c r="L43" s="55">
        <v>104620</v>
      </c>
      <c r="O43" s="10" t="s">
        <v>97</v>
      </c>
      <c r="P43" s="54">
        <v>7.3749639140018291E-3</v>
      </c>
      <c r="R43" s="55">
        <v>121448</v>
      </c>
    </row>
    <row r="44" spans="2:18" x14ac:dyDescent="0.3">
      <c r="C44" s="10" t="s">
        <v>98</v>
      </c>
      <c r="D44" s="54">
        <v>3.4723542930512946E-3</v>
      </c>
      <c r="F44" s="55">
        <v>136479</v>
      </c>
      <c r="I44" s="10" t="s">
        <v>98</v>
      </c>
      <c r="J44" s="54">
        <v>4.6787775760873188E-3</v>
      </c>
      <c r="L44" s="55">
        <v>44081</v>
      </c>
      <c r="O44" s="10" t="s">
        <v>98</v>
      </c>
      <c r="P44" s="54">
        <v>4.8636091973538837E-3</v>
      </c>
      <c r="R44" s="55">
        <v>80092</v>
      </c>
    </row>
    <row r="45" spans="2:18" x14ac:dyDescent="0.3">
      <c r="C45" s="10" t="s">
        <v>99</v>
      </c>
      <c r="D45" s="54">
        <v>5.3218392000683283E-3</v>
      </c>
      <c r="F45" s="55">
        <v>209172</v>
      </c>
      <c r="I45" s="10" t="s">
        <v>99</v>
      </c>
      <c r="J45" s="54">
        <v>8.3908278510017222E-3</v>
      </c>
      <c r="L45" s="55">
        <v>79054</v>
      </c>
      <c r="O45" s="10" t="s">
        <v>99</v>
      </c>
      <c r="P45" s="54">
        <v>6.5345867517112083E-3</v>
      </c>
      <c r="R45" s="55">
        <v>107609</v>
      </c>
    </row>
    <row r="46" spans="2:18" x14ac:dyDescent="0.3">
      <c r="C46" s="10" t="s">
        <v>100</v>
      </c>
      <c r="D46" s="54">
        <v>1.6670704800730358E-2</v>
      </c>
      <c r="F46" s="55">
        <v>655233</v>
      </c>
      <c r="I46" s="10" t="s">
        <v>100</v>
      </c>
      <c r="J46" s="54">
        <v>1.8594216321473126E-2</v>
      </c>
      <c r="L46" s="55">
        <v>175185</v>
      </c>
      <c r="O46" s="10" t="s">
        <v>100</v>
      </c>
      <c r="P46" s="54">
        <v>2.0791060947171071E-2</v>
      </c>
      <c r="R46" s="55">
        <v>342379</v>
      </c>
    </row>
    <row r="47" spans="2:18" x14ac:dyDescent="0.3">
      <c r="C47" s="10" t="s">
        <v>101</v>
      </c>
      <c r="D47" s="54">
        <v>3.5571029514540808E-3</v>
      </c>
      <c r="F47" s="55">
        <v>139810</v>
      </c>
      <c r="I47" s="10" t="s">
        <v>101</v>
      </c>
      <c r="J47" s="54">
        <v>7.1072712795168655E-3</v>
      </c>
      <c r="L47" s="55">
        <v>66961</v>
      </c>
      <c r="O47" s="10" t="s">
        <v>101</v>
      </c>
      <c r="P47" s="54">
        <v>2.1212555121855599E-3</v>
      </c>
      <c r="R47" s="55">
        <v>34932</v>
      </c>
    </row>
    <row r="48" spans="2:18" x14ac:dyDescent="0.3">
      <c r="C48" s="10" t="s">
        <v>102</v>
      </c>
      <c r="D48" s="54">
        <v>1.0006702293330245E-2</v>
      </c>
      <c r="F48" s="55">
        <v>393308</v>
      </c>
      <c r="I48" s="10" t="s">
        <v>102</v>
      </c>
      <c r="J48" s="54">
        <v>1.5471033313456764E-3</v>
      </c>
      <c r="L48" s="55">
        <v>14576</v>
      </c>
      <c r="O48" s="10" t="s">
        <v>102</v>
      </c>
      <c r="P48" s="54">
        <v>2.2040483601562973E-2</v>
      </c>
      <c r="R48" s="55">
        <v>362954</v>
      </c>
    </row>
    <row r="49" spans="1:18" x14ac:dyDescent="0.3">
      <c r="C49" s="10" t="s">
        <v>103</v>
      </c>
      <c r="D49" s="54">
        <v>5.1523927680771674E-3</v>
      </c>
      <c r="F49" s="55">
        <v>202512</v>
      </c>
      <c r="I49" s="10" t="s">
        <v>103</v>
      </c>
      <c r="J49" s="54">
        <v>3.616736142673156E-3</v>
      </c>
      <c r="L49" s="55">
        <v>34075</v>
      </c>
      <c r="O49" s="10" t="s">
        <v>103</v>
      </c>
      <c r="P49" s="54">
        <v>6.1215941163518242E-3</v>
      </c>
      <c r="R49" s="55">
        <v>100808</v>
      </c>
    </row>
    <row r="50" spans="1:18" x14ac:dyDescent="0.3">
      <c r="C50" s="10" t="s">
        <v>104</v>
      </c>
      <c r="D50" s="54">
        <v>5.6123406055450659E-4</v>
      </c>
      <c r="F50" s="55">
        <v>22059</v>
      </c>
      <c r="I50" s="10" t="s">
        <v>104</v>
      </c>
      <c r="J50" s="54">
        <v>8.8584827136464154E-4</v>
      </c>
      <c r="L50" s="55">
        <v>8346</v>
      </c>
      <c r="O50" s="10" t="s">
        <v>104</v>
      </c>
      <c r="P50" s="54">
        <v>5.3766163703455134E-4</v>
      </c>
      <c r="R50" s="55">
        <v>8854</v>
      </c>
    </row>
    <row r="51" spans="1:18" x14ac:dyDescent="0.3">
      <c r="C51" s="10" t="s">
        <v>105</v>
      </c>
      <c r="D51" s="54">
        <v>2.3832233581041459E-2</v>
      </c>
      <c r="F51" s="55">
        <v>936713</v>
      </c>
      <c r="I51" s="10" t="s">
        <v>105</v>
      </c>
      <c r="J51" s="54">
        <v>2.8013439080365098E-2</v>
      </c>
      <c r="L51" s="55">
        <v>263928</v>
      </c>
      <c r="O51" s="10" t="s">
        <v>105</v>
      </c>
      <c r="P51" s="54">
        <v>2.2824507703184057E-2</v>
      </c>
      <c r="R51" s="55">
        <v>375865</v>
      </c>
    </row>
    <row r="52" spans="1:18" x14ac:dyDescent="0.3">
      <c r="C52" s="10" t="s">
        <v>106</v>
      </c>
      <c r="D52" s="54">
        <v>1.75029513828419E-2</v>
      </c>
      <c r="F52" s="55">
        <v>687944</v>
      </c>
      <c r="I52" s="10" t="s">
        <v>106</v>
      </c>
      <c r="J52" s="54">
        <v>2.4629256683505497E-2</v>
      </c>
      <c r="L52" s="55">
        <v>232044</v>
      </c>
      <c r="O52" s="10" t="s">
        <v>106</v>
      </c>
      <c r="P52" s="54">
        <v>2.0614775456736092E-2</v>
      </c>
      <c r="R52" s="55">
        <v>339476</v>
      </c>
    </row>
    <row r="53" spans="1:18" x14ac:dyDescent="0.3">
      <c r="C53" s="10" t="s">
        <v>107</v>
      </c>
      <c r="D53" s="54">
        <v>1.0328497859670214E-2</v>
      </c>
      <c r="F53" s="55">
        <v>405956</v>
      </c>
      <c r="I53" s="10" t="s">
        <v>107</v>
      </c>
      <c r="J53" s="54">
        <v>1.163023466169533E-2</v>
      </c>
      <c r="L53" s="55">
        <v>109574</v>
      </c>
      <c r="O53" s="10" t="s">
        <v>107</v>
      </c>
      <c r="P53" s="54">
        <v>1.5182777630215345E-2</v>
      </c>
      <c r="R53" s="55">
        <v>250024</v>
      </c>
    </row>
    <row r="54" spans="1:18" x14ac:dyDescent="0.3">
      <c r="B54" s="32" t="s">
        <v>108</v>
      </c>
      <c r="C54" s="32"/>
      <c r="D54" s="52">
        <v>5.8130811983994586E-3</v>
      </c>
      <c r="E54" s="32"/>
      <c r="F54" s="53">
        <v>228480</v>
      </c>
      <c r="G54" s="32"/>
      <c r="H54" s="32" t="s">
        <v>108</v>
      </c>
      <c r="I54" s="32"/>
      <c r="J54" s="52">
        <v>6.0192254336315382E-3</v>
      </c>
      <c r="K54" s="32"/>
      <c r="L54" s="53">
        <v>56710</v>
      </c>
      <c r="M54" s="32"/>
      <c r="N54" s="32" t="s">
        <v>108</v>
      </c>
      <c r="O54" s="32"/>
      <c r="P54" s="52">
        <v>6.4083388927327995E-3</v>
      </c>
      <c r="Q54" s="32"/>
      <c r="R54" s="53">
        <v>105530</v>
      </c>
    </row>
    <row r="55" spans="1:18" x14ac:dyDescent="0.3">
      <c r="C55" s="10" t="s">
        <v>109</v>
      </c>
      <c r="D55" s="54">
        <v>2.1935934644765607E-3</v>
      </c>
      <c r="F55" s="55">
        <v>86218</v>
      </c>
      <c r="I55" s="10" t="s">
        <v>109</v>
      </c>
      <c r="J55" s="54">
        <v>3.4871386421535984E-3</v>
      </c>
      <c r="L55" s="55">
        <v>32854</v>
      </c>
      <c r="O55" s="10" t="s">
        <v>109</v>
      </c>
      <c r="P55" s="54">
        <v>1.4710699296546202E-3</v>
      </c>
      <c r="R55" s="55">
        <v>24225</v>
      </c>
    </row>
    <row r="56" spans="1:18" x14ac:dyDescent="0.3">
      <c r="C56" s="10" t="s">
        <v>110</v>
      </c>
      <c r="D56" s="54">
        <v>3.239021976566169E-3</v>
      </c>
      <c r="F56" s="55">
        <v>127308</v>
      </c>
      <c r="I56" s="10" t="s">
        <v>110</v>
      </c>
      <c r="J56" s="54">
        <v>2.13268024401267E-3</v>
      </c>
      <c r="L56" s="55">
        <v>20093</v>
      </c>
      <c r="O56" s="10" t="s">
        <v>110</v>
      </c>
      <c r="P56" s="54">
        <v>4.6941856636599152E-3</v>
      </c>
      <c r="R56" s="55">
        <v>77302</v>
      </c>
    </row>
    <row r="57" spans="1:18" x14ac:dyDescent="0.3">
      <c r="C57" s="10" t="s">
        <v>111</v>
      </c>
      <c r="D57" s="54">
        <v>3.8046575735672928E-4</v>
      </c>
      <c r="F57" s="55">
        <v>14954</v>
      </c>
      <c r="I57" s="10" t="s">
        <v>111</v>
      </c>
      <c r="J57" s="54">
        <v>3.9930040700620435E-4</v>
      </c>
      <c r="L57" s="55">
        <v>3762</v>
      </c>
      <c r="O57" s="10" t="s">
        <v>111</v>
      </c>
      <c r="P57" s="54">
        <v>2.4308329941826395E-4</v>
      </c>
      <c r="R57" s="55">
        <v>4003</v>
      </c>
    </row>
    <row r="58" spans="1:18" x14ac:dyDescent="0.3">
      <c r="B58" s="32" t="s">
        <v>112</v>
      </c>
      <c r="C58" s="32"/>
      <c r="D58" s="52">
        <v>0.3408529724758696</v>
      </c>
      <c r="E58" s="32"/>
      <c r="F58" s="53">
        <v>13397041</v>
      </c>
      <c r="G58" s="32"/>
      <c r="H58" s="32" t="s">
        <v>112</v>
      </c>
      <c r="I58" s="32"/>
      <c r="J58" s="52">
        <v>0.32649643718321053</v>
      </c>
      <c r="K58" s="32"/>
      <c r="L58" s="53">
        <v>3076079</v>
      </c>
      <c r="M58" s="32"/>
      <c r="N58" s="32" t="s">
        <v>112</v>
      </c>
      <c r="O58" s="32"/>
      <c r="P58" s="52">
        <v>0.36354938295220324</v>
      </c>
      <c r="Q58" s="32"/>
      <c r="R58" s="53">
        <v>5986788</v>
      </c>
    </row>
    <row r="59" spans="1:18" x14ac:dyDescent="0.3">
      <c r="A59" s="41">
        <v>1</v>
      </c>
      <c r="C59" s="10" t="s">
        <v>113</v>
      </c>
      <c r="D59" s="54">
        <v>1.4687978007176132E-2</v>
      </c>
      <c r="F59" s="55">
        <v>577303</v>
      </c>
      <c r="I59" s="10" t="s">
        <v>113</v>
      </c>
      <c r="J59" s="54">
        <v>1.3393758389076534E-2</v>
      </c>
      <c r="L59" s="55">
        <v>126189</v>
      </c>
      <c r="O59" s="10" t="s">
        <v>113</v>
      </c>
      <c r="P59" s="54">
        <v>2.3495825683466073E-2</v>
      </c>
      <c r="R59" s="55">
        <v>386920</v>
      </c>
    </row>
    <row r="60" spans="1:18" x14ac:dyDescent="0.3">
      <c r="A60" s="41">
        <v>1</v>
      </c>
      <c r="C60" s="10" t="s">
        <v>114</v>
      </c>
      <c r="D60" s="54">
        <v>1.7681709735870412E-3</v>
      </c>
      <c r="F60" s="55">
        <v>69497</v>
      </c>
      <c r="I60" s="10" t="s">
        <v>114</v>
      </c>
      <c r="J60" s="54">
        <v>1.7867684879166517E-3</v>
      </c>
      <c r="L60" s="55">
        <v>16834</v>
      </c>
      <c r="O60" s="10" t="s">
        <v>114</v>
      </c>
      <c r="P60" s="54">
        <v>2.7240753756192612E-3</v>
      </c>
      <c r="R60" s="55">
        <v>44859</v>
      </c>
    </row>
    <row r="61" spans="1:18" x14ac:dyDescent="0.3">
      <c r="A61" s="41">
        <v>1</v>
      </c>
      <c r="C61" s="10" t="s">
        <v>115</v>
      </c>
      <c r="D61" s="54">
        <v>2.1526311888750939E-3</v>
      </c>
      <c r="F61" s="55">
        <v>84608</v>
      </c>
      <c r="I61" s="10" t="s">
        <v>115</v>
      </c>
      <c r="J61" s="54">
        <v>1.7773219870597797E-3</v>
      </c>
      <c r="L61" s="55">
        <v>16745</v>
      </c>
      <c r="O61" s="10" t="s">
        <v>115</v>
      </c>
      <c r="P61" s="54">
        <v>3.6359261935219969E-3</v>
      </c>
      <c r="R61" s="55">
        <v>59875</v>
      </c>
    </row>
    <row r="62" spans="1:18" x14ac:dyDescent="0.3">
      <c r="A62" s="41">
        <v>1</v>
      </c>
      <c r="C62" s="10" t="s">
        <v>116</v>
      </c>
      <c r="D62" s="54">
        <v>3.8991761163371368E-3</v>
      </c>
      <c r="F62" s="55">
        <v>153255</v>
      </c>
      <c r="I62" s="10" t="s">
        <v>116</v>
      </c>
      <c r="J62" s="54">
        <v>6.2511423366906974E-3</v>
      </c>
      <c r="L62" s="55">
        <v>58895</v>
      </c>
      <c r="O62" s="10" t="s">
        <v>116</v>
      </c>
      <c r="P62" s="54">
        <v>4.869621000162379E-3</v>
      </c>
      <c r="R62" s="55">
        <v>80191</v>
      </c>
    </row>
    <row r="63" spans="1:18" x14ac:dyDescent="0.3">
      <c r="A63" s="41">
        <v>1</v>
      </c>
      <c r="C63" s="10" t="s">
        <v>117</v>
      </c>
      <c r="D63" s="54">
        <v>5.9174968375723903E-3</v>
      </c>
      <c r="F63" s="55">
        <v>232584</v>
      </c>
      <c r="I63" s="10" t="s">
        <v>117</v>
      </c>
      <c r="J63" s="54">
        <v>6.4380556851058824E-3</v>
      </c>
      <c r="L63" s="55">
        <v>60656</v>
      </c>
      <c r="O63" s="10" t="s">
        <v>117</v>
      </c>
      <c r="P63" s="54">
        <v>9.1233054762179765E-3</v>
      </c>
      <c r="R63" s="55">
        <v>150239</v>
      </c>
    </row>
    <row r="64" spans="1:18" x14ac:dyDescent="0.3">
      <c r="A64" s="41">
        <v>1</v>
      </c>
      <c r="C64" s="10" t="s">
        <v>118</v>
      </c>
      <c r="D64" s="54">
        <v>1.1117975755268671E-2</v>
      </c>
      <c r="F64" s="55">
        <v>436986</v>
      </c>
      <c r="I64" s="10" t="s">
        <v>118</v>
      </c>
      <c r="J64" s="54">
        <v>1.2171020300636482E-2</v>
      </c>
      <c r="L64" s="55">
        <v>114669</v>
      </c>
      <c r="O64" s="10" t="s">
        <v>118</v>
      </c>
      <c r="P64" s="54">
        <v>1.7159081896907177E-2</v>
      </c>
      <c r="R64" s="55">
        <v>282569</v>
      </c>
    </row>
    <row r="65" spans="1:18" x14ac:dyDescent="0.3">
      <c r="A65" s="41">
        <v>1</v>
      </c>
      <c r="C65" s="10" t="s">
        <v>119</v>
      </c>
      <c r="D65" s="54">
        <v>9.5475686128929343E-2</v>
      </c>
      <c r="F65" s="55">
        <v>3752620</v>
      </c>
      <c r="I65" s="10" t="s">
        <v>119</v>
      </c>
      <c r="J65" s="54">
        <v>0.14192104465987185</v>
      </c>
      <c r="L65" s="55">
        <v>1337106</v>
      </c>
      <c r="O65" s="10" t="s">
        <v>119</v>
      </c>
      <c r="P65" s="54">
        <v>0.11973233996489836</v>
      </c>
      <c r="R65" s="55">
        <v>1971705</v>
      </c>
    </row>
    <row r="66" spans="1:18" x14ac:dyDescent="0.3">
      <c r="A66" s="41">
        <v>1</v>
      </c>
      <c r="C66" s="10" t="s">
        <v>120</v>
      </c>
      <c r="D66" s="54">
        <v>1.4061560499360162E-2</v>
      </c>
      <c r="F66" s="55">
        <v>552682</v>
      </c>
      <c r="I66" s="10" t="s">
        <v>120</v>
      </c>
      <c r="J66" s="54">
        <v>1.5787438021932439E-2</v>
      </c>
      <c r="L66" s="55">
        <v>148741</v>
      </c>
      <c r="O66" s="10" t="s">
        <v>120</v>
      </c>
      <c r="P66" s="54">
        <v>1.9421827313575512E-2</v>
      </c>
      <c r="R66" s="55">
        <v>319831</v>
      </c>
    </row>
    <row r="67" spans="1:18" x14ac:dyDescent="0.3">
      <c r="A67" s="41">
        <v>1</v>
      </c>
      <c r="C67" s="10" t="s">
        <v>121</v>
      </c>
      <c r="D67" s="54">
        <v>2.3047895051698589E-2</v>
      </c>
      <c r="F67" s="55">
        <v>905885</v>
      </c>
      <c r="I67" s="10" t="s">
        <v>121</v>
      </c>
      <c r="J67" s="54">
        <v>3.1762850796870724E-2</v>
      </c>
      <c r="L67" s="55">
        <v>299253</v>
      </c>
      <c r="O67" s="10" t="s">
        <v>121</v>
      </c>
      <c r="P67" s="54">
        <v>1.9293089718080456E-2</v>
      </c>
      <c r="R67" s="55">
        <v>317711</v>
      </c>
    </row>
    <row r="68" spans="1:18" x14ac:dyDescent="0.3">
      <c r="A68" s="41">
        <v>1</v>
      </c>
      <c r="C68" s="10" t="s">
        <v>122</v>
      </c>
      <c r="D68" s="54">
        <v>3.1088738867452104E-2</v>
      </c>
      <c r="F68" s="55">
        <v>1221926</v>
      </c>
      <c r="I68" s="10" t="s">
        <v>122</v>
      </c>
      <c r="J68" s="54">
        <v>3.0911392034243458E-2</v>
      </c>
      <c r="L68" s="55">
        <v>291231</v>
      </c>
      <c r="O68" s="10" t="s">
        <v>122</v>
      </c>
      <c r="P68" s="54">
        <v>2.6281901570878001E-2</v>
      </c>
      <c r="R68" s="55">
        <v>432800</v>
      </c>
    </row>
    <row r="69" spans="1:18" x14ac:dyDescent="0.3">
      <c r="A69" s="41">
        <v>1</v>
      </c>
      <c r="C69" s="10" t="s">
        <v>123</v>
      </c>
      <c r="D69" s="54">
        <v>1.5472214766890178E-2</v>
      </c>
      <c r="F69" s="55">
        <v>608127</v>
      </c>
      <c r="I69" s="10" t="s">
        <v>123</v>
      </c>
      <c r="J69" s="54">
        <v>1.16094311317184E-2</v>
      </c>
      <c r="L69" s="55">
        <v>109378</v>
      </c>
      <c r="O69" s="10" t="s">
        <v>123</v>
      </c>
      <c r="P69" s="54">
        <v>8.279770599320873E-3</v>
      </c>
      <c r="R69" s="55">
        <v>136348</v>
      </c>
    </row>
    <row r="70" spans="1:18" x14ac:dyDescent="0.3">
      <c r="A70" s="41">
        <v>1</v>
      </c>
      <c r="C70" s="10" t="s">
        <v>124</v>
      </c>
      <c r="D70" s="54">
        <v>6.4647375741636627E-3</v>
      </c>
      <c r="F70" s="55">
        <v>254093</v>
      </c>
      <c r="I70" s="10" t="s">
        <v>124</v>
      </c>
      <c r="J70" s="54">
        <v>9.484605281676611E-3</v>
      </c>
      <c r="L70" s="55">
        <v>89359</v>
      </c>
      <c r="O70" s="10" t="s">
        <v>124</v>
      </c>
      <c r="P70" s="54">
        <v>1.0003518422774992E-2</v>
      </c>
      <c r="R70" s="55">
        <v>164734</v>
      </c>
    </row>
    <row r="71" spans="1:18" x14ac:dyDescent="0.3">
      <c r="A71" s="41">
        <v>1</v>
      </c>
      <c r="C71" s="10" t="s">
        <v>125</v>
      </c>
      <c r="D71" s="54">
        <v>2.0413791748859423E-2</v>
      </c>
      <c r="F71" s="55">
        <v>802353</v>
      </c>
      <c r="I71" s="10" t="s">
        <v>125</v>
      </c>
      <c r="J71" s="54">
        <v>7.8917554124735001E-3</v>
      </c>
      <c r="L71" s="55">
        <v>74352</v>
      </c>
      <c r="O71" s="10" t="s">
        <v>125</v>
      </c>
      <c r="P71" s="54">
        <v>1.8288207769848269E-2</v>
      </c>
      <c r="R71" s="55">
        <v>301163</v>
      </c>
    </row>
    <row r="72" spans="1:18" x14ac:dyDescent="0.3">
      <c r="A72" s="41">
        <v>1</v>
      </c>
      <c r="C72" s="10" t="s">
        <v>126</v>
      </c>
      <c r="D72" s="54">
        <v>2.2275081932819987E-2</v>
      </c>
      <c r="F72" s="55">
        <v>875510</v>
      </c>
      <c r="I72" s="10" t="s">
        <v>126</v>
      </c>
      <c r="J72" s="54">
        <v>8.2576215748739207E-3</v>
      </c>
      <c r="L72" s="55">
        <v>77799</v>
      </c>
      <c r="O72" s="10" t="s">
        <v>126</v>
      </c>
      <c r="P72" s="54">
        <v>1.6931665719959538E-2</v>
      </c>
      <c r="R72" s="55">
        <v>278824</v>
      </c>
    </row>
    <row r="73" spans="1:18" x14ac:dyDescent="0.3">
      <c r="A73" s="41">
        <v>1</v>
      </c>
      <c r="C73" s="10" t="s">
        <v>127</v>
      </c>
      <c r="D73" s="54">
        <v>2.2207150705580287E-2</v>
      </c>
      <c r="F73" s="55">
        <v>872840</v>
      </c>
      <c r="I73" s="10" t="s">
        <v>127</v>
      </c>
      <c r="J73" s="54">
        <v>1.8043878041216039E-5</v>
      </c>
      <c r="L73" s="55">
        <v>170</v>
      </c>
      <c r="O73" s="10" t="s">
        <v>127</v>
      </c>
      <c r="P73" s="54">
        <v>3.9385081231600998E-2</v>
      </c>
      <c r="R73" s="55">
        <v>648578</v>
      </c>
    </row>
    <row r="74" spans="1:18" x14ac:dyDescent="0.3">
      <c r="A74" s="41">
        <v>1</v>
      </c>
      <c r="C74" s="10" t="s">
        <v>128</v>
      </c>
      <c r="D74" s="54">
        <v>4.4287572780868083E-2</v>
      </c>
      <c r="F74" s="55">
        <v>1740699</v>
      </c>
      <c r="I74" s="10" t="s">
        <v>128</v>
      </c>
      <c r="J74" s="54">
        <v>2.0467807704905749E-2</v>
      </c>
      <c r="L74" s="55">
        <v>192837</v>
      </c>
      <c r="O74" s="10" t="s">
        <v>128</v>
      </c>
      <c r="P74" s="54">
        <v>2.031485329440114E-2</v>
      </c>
      <c r="R74" s="55">
        <v>334537</v>
      </c>
    </row>
    <row r="75" spans="1:18" x14ac:dyDescent="0.3">
      <c r="A75" s="41">
        <v>1</v>
      </c>
      <c r="C75" s="10" t="s">
        <v>129</v>
      </c>
      <c r="D75" s="54">
        <v>3.517158372140849E-4</v>
      </c>
      <c r="F75" s="55">
        <v>13824</v>
      </c>
      <c r="I75" s="10" t="s">
        <v>129</v>
      </c>
      <c r="J75" s="54">
        <v>1.0265905200861267E-3</v>
      </c>
      <c r="L75" s="55">
        <v>9672</v>
      </c>
      <c r="O75" s="10" t="s">
        <v>129</v>
      </c>
      <c r="P75" s="54">
        <v>2.4618028874385264E-4</v>
      </c>
      <c r="R75" s="55">
        <v>4054</v>
      </c>
    </row>
    <row r="76" spans="1:18" x14ac:dyDescent="0.3">
      <c r="A76" s="41">
        <v>1</v>
      </c>
      <c r="C76" s="10" t="s">
        <v>130</v>
      </c>
      <c r="D76" s="54">
        <v>6.1633722608100145E-3</v>
      </c>
      <c r="F76" s="55">
        <v>242248</v>
      </c>
      <c r="I76" s="10" t="s">
        <v>130</v>
      </c>
      <c r="J76" s="54">
        <v>5.5396828395714555E-3</v>
      </c>
      <c r="L76" s="55">
        <v>52192</v>
      </c>
      <c r="O76" s="10" t="s">
        <v>130</v>
      </c>
      <c r="P76" s="54">
        <v>4.3631114322263964E-3</v>
      </c>
      <c r="R76" s="55">
        <v>71850</v>
      </c>
    </row>
    <row r="77" spans="1:18" x14ac:dyDescent="0.3">
      <c r="B77" s="32" t="s">
        <v>131</v>
      </c>
      <c r="C77" s="32"/>
      <c r="D77" s="52">
        <v>0.14135926111382227</v>
      </c>
      <c r="E77" s="32"/>
      <c r="F77" s="53">
        <v>5556049</v>
      </c>
      <c r="G77" s="32"/>
      <c r="H77" s="32" t="s">
        <v>131</v>
      </c>
      <c r="I77" s="32"/>
      <c r="J77" s="52">
        <v>4.3326216969354493E-2</v>
      </c>
      <c r="K77" s="32"/>
      <c r="L77" s="53">
        <v>408197</v>
      </c>
      <c r="M77" s="32"/>
      <c r="N77" s="32" t="s">
        <v>131</v>
      </c>
      <c r="O77" s="32"/>
      <c r="P77" s="52">
        <v>5.4735642812926179E-2</v>
      </c>
      <c r="Q77" s="32"/>
      <c r="R77" s="53">
        <v>901365</v>
      </c>
    </row>
    <row r="78" spans="1:18" x14ac:dyDescent="0.3">
      <c r="C78" s="10" t="s">
        <v>132</v>
      </c>
      <c r="D78" s="54">
        <v>1.5372175221756657E-2</v>
      </c>
      <c r="F78" s="55">
        <v>604195</v>
      </c>
      <c r="I78" s="10" t="s">
        <v>132</v>
      </c>
      <c r="J78" s="54">
        <v>2.3086611251440592E-3</v>
      </c>
      <c r="L78" s="55">
        <v>21751</v>
      </c>
      <c r="O78" s="10" t="s">
        <v>132</v>
      </c>
      <c r="P78" s="54">
        <v>6.5468532584517748E-3</v>
      </c>
      <c r="R78" s="55">
        <v>107811</v>
      </c>
    </row>
    <row r="79" spans="1:18" x14ac:dyDescent="0.3">
      <c r="C79" s="10" t="s">
        <v>133</v>
      </c>
      <c r="D79" s="54">
        <v>1.2917110138425269E-4</v>
      </c>
      <c r="F79" s="55">
        <v>5077</v>
      </c>
      <c r="I79" s="10" t="s">
        <v>133</v>
      </c>
      <c r="J79" s="54">
        <v>0</v>
      </c>
      <c r="L79" s="55">
        <v>0</v>
      </c>
      <c r="O79" s="10" t="s">
        <v>133</v>
      </c>
      <c r="P79" s="54">
        <v>2.9755387638008826E-6</v>
      </c>
      <c r="R79" s="55">
        <v>49</v>
      </c>
    </row>
    <row r="80" spans="1:18" x14ac:dyDescent="0.3">
      <c r="C80" s="10" t="s">
        <v>134</v>
      </c>
      <c r="D80" s="54">
        <v>1.748287732355646E-2</v>
      </c>
      <c r="F80" s="55">
        <v>687155</v>
      </c>
      <c r="I80" s="10" t="s">
        <v>134</v>
      </c>
      <c r="J80" s="54">
        <v>3.4979649689783282E-3</v>
      </c>
      <c r="L80" s="55">
        <v>32956</v>
      </c>
      <c r="O80" s="10" t="s">
        <v>134</v>
      </c>
      <c r="P80" s="54">
        <v>1.1625247774327367E-3</v>
      </c>
      <c r="R80" s="55">
        <v>19144</v>
      </c>
    </row>
    <row r="81" spans="1:18" x14ac:dyDescent="0.3">
      <c r="C81" s="10" t="s">
        <v>135</v>
      </c>
      <c r="D81" s="54">
        <v>1.9194922346847332E-2</v>
      </c>
      <c r="F81" s="55">
        <v>754446</v>
      </c>
      <c r="I81" s="10" t="s">
        <v>135</v>
      </c>
      <c r="J81" s="54">
        <v>1.6624780103503931E-3</v>
      </c>
      <c r="L81" s="55">
        <v>15663</v>
      </c>
      <c r="O81" s="10" t="s">
        <v>135</v>
      </c>
      <c r="P81" s="54">
        <v>7.6350502920703835E-3</v>
      </c>
      <c r="R81" s="55">
        <v>125731</v>
      </c>
    </row>
    <row r="82" spans="1:18" x14ac:dyDescent="0.3">
      <c r="A82" s="41">
        <v>1</v>
      </c>
      <c r="C82" s="10" t="s">
        <v>136</v>
      </c>
      <c r="D82" s="54">
        <v>1.5975948987159396E-2</v>
      </c>
      <c r="F82" s="55">
        <v>627926</v>
      </c>
      <c r="I82" s="10" t="s">
        <v>136</v>
      </c>
      <c r="J82" s="54">
        <v>1.2676885728544926E-2</v>
      </c>
      <c r="L82" s="55">
        <v>119435</v>
      </c>
      <c r="O82" s="10" t="s">
        <v>136</v>
      </c>
      <c r="P82" s="54">
        <v>1.3684259873596684E-2</v>
      </c>
      <c r="R82" s="55">
        <v>225347</v>
      </c>
    </row>
    <row r="83" spans="1:18" x14ac:dyDescent="0.3">
      <c r="C83" s="10" t="s">
        <v>137</v>
      </c>
      <c r="D83" s="54">
        <v>2.5900421420400235E-2</v>
      </c>
      <c r="F83" s="55">
        <v>1018002</v>
      </c>
      <c r="I83" s="10" t="s">
        <v>137</v>
      </c>
      <c r="J83" s="54">
        <v>9.0586636194448476E-3</v>
      </c>
      <c r="L83" s="55">
        <v>85346</v>
      </c>
      <c r="O83" s="10" t="s">
        <v>137</v>
      </c>
      <c r="P83" s="54">
        <v>5.8738956955856243E-3</v>
      </c>
      <c r="R83" s="55">
        <v>96729</v>
      </c>
    </row>
    <row r="84" spans="1:18" x14ac:dyDescent="0.3">
      <c r="C84" s="10" t="s">
        <v>138</v>
      </c>
      <c r="D84" s="54">
        <v>4.7303770155125158E-2</v>
      </c>
      <c r="F84" s="55">
        <v>1859249</v>
      </c>
      <c r="I84" s="10" t="s">
        <v>138</v>
      </c>
      <c r="J84" s="54">
        <v>1.4121669657351002E-2</v>
      </c>
      <c r="L84" s="55">
        <v>133047</v>
      </c>
      <c r="O84" s="10" t="s">
        <v>138</v>
      </c>
      <c r="P84" s="54">
        <v>1.9830083377025173E-2</v>
      </c>
      <c r="R84" s="55">
        <v>326554</v>
      </c>
    </row>
    <row r="85" spans="1:18" x14ac:dyDescent="0.3">
      <c r="B85" s="32" t="s">
        <v>139</v>
      </c>
      <c r="C85" s="32"/>
      <c r="D85" s="52">
        <v>2.4423693221356552E-3</v>
      </c>
      <c r="E85" s="32"/>
      <c r="F85" s="53">
        <v>95996</v>
      </c>
      <c r="G85" s="32"/>
      <c r="H85" s="32" t="s">
        <v>139</v>
      </c>
      <c r="I85" s="32"/>
      <c r="J85" s="52">
        <v>3.2454568168603696E-3</v>
      </c>
      <c r="K85" s="32"/>
      <c r="L85" s="53">
        <v>30577</v>
      </c>
      <c r="M85" s="32"/>
      <c r="N85" s="32" t="s">
        <v>139</v>
      </c>
      <c r="O85" s="32"/>
      <c r="P85" s="52">
        <v>2.9219790660524668E-3</v>
      </c>
      <c r="Q85" s="32"/>
      <c r="R85" s="53">
        <v>48118</v>
      </c>
    </row>
    <row r="86" spans="1:18" x14ac:dyDescent="0.3">
      <c r="C86" s="10" t="s">
        <v>140</v>
      </c>
      <c r="D86" s="54">
        <v>3.5398021145540825E-4</v>
      </c>
      <c r="F86" s="55">
        <v>13913</v>
      </c>
      <c r="I86" s="10" t="s">
        <v>140</v>
      </c>
      <c r="J86" s="54">
        <v>9.406167482426855E-4</v>
      </c>
      <c r="L86" s="55">
        <v>8862</v>
      </c>
      <c r="O86" s="10" t="s">
        <v>140</v>
      </c>
      <c r="P86" s="54">
        <v>2.6585527975347479E-4</v>
      </c>
      <c r="R86" s="55">
        <v>4378</v>
      </c>
    </row>
    <row r="87" spans="1:18" x14ac:dyDescent="0.3">
      <c r="C87" s="10" t="s">
        <v>141</v>
      </c>
      <c r="D87" s="54">
        <v>7.617456717440467E-5</v>
      </c>
      <c r="F87" s="55">
        <v>2994</v>
      </c>
      <c r="I87" s="10" t="s">
        <v>141</v>
      </c>
      <c r="J87" s="54">
        <v>6.9840422065412671E-5</v>
      </c>
      <c r="L87" s="55">
        <v>658</v>
      </c>
      <c r="O87" s="10" t="s">
        <v>141</v>
      </c>
      <c r="P87" s="54">
        <v>1.4185425616814005E-4</v>
      </c>
      <c r="R87" s="55">
        <v>2336</v>
      </c>
    </row>
    <row r="88" spans="1:18" x14ac:dyDescent="0.3">
      <c r="C88" s="10" t="s">
        <v>142</v>
      </c>
      <c r="D88" s="54">
        <v>1.755526097205719E-4</v>
      </c>
      <c r="F88" s="55">
        <v>6900</v>
      </c>
      <c r="I88" s="10" t="s">
        <v>142</v>
      </c>
      <c r="J88" s="54">
        <v>4.1819340871994816E-5</v>
      </c>
      <c r="L88" s="55">
        <v>394</v>
      </c>
      <c r="O88" s="10" t="s">
        <v>142</v>
      </c>
      <c r="P88" s="54">
        <v>9.1087921340843348E-7</v>
      </c>
      <c r="R88" s="55">
        <v>15</v>
      </c>
    </row>
    <row r="89" spans="1:18" x14ac:dyDescent="0.3">
      <c r="C89" s="10" t="s">
        <v>143</v>
      </c>
      <c r="D89" s="54">
        <v>2.2623388487468481E-4</v>
      </c>
      <c r="F89" s="55">
        <v>8892</v>
      </c>
      <c r="I89" s="10" t="s">
        <v>143</v>
      </c>
      <c r="J89" s="54">
        <v>4.0386444674604135E-4</v>
      </c>
      <c r="L89" s="55">
        <v>3805</v>
      </c>
      <c r="O89" s="10" t="s">
        <v>143</v>
      </c>
      <c r="P89" s="54">
        <v>1.7324922639028406E-4</v>
      </c>
      <c r="R89" s="55">
        <v>2853</v>
      </c>
    </row>
    <row r="90" spans="1:18" x14ac:dyDescent="0.3">
      <c r="C90" s="10" t="s">
        <v>144</v>
      </c>
      <c r="D90" s="54">
        <v>4.4625982239113491E-5</v>
      </c>
      <c r="F90" s="55">
        <v>1754</v>
      </c>
      <c r="I90" s="10" t="s">
        <v>144</v>
      </c>
      <c r="J90" s="54">
        <v>1.4615541213384991E-4</v>
      </c>
      <c r="L90" s="55">
        <v>1377</v>
      </c>
      <c r="O90" s="10" t="s">
        <v>144</v>
      </c>
      <c r="P90" s="54">
        <v>1.4877693819004414E-5</v>
      </c>
      <c r="R90" s="55">
        <v>245</v>
      </c>
    </row>
    <row r="91" spans="1:18" x14ac:dyDescent="0.3">
      <c r="C91" s="10" t="s">
        <v>145</v>
      </c>
      <c r="D91" s="54">
        <v>5.5395753209362491E-4</v>
      </c>
      <c r="F91" s="55">
        <v>21773</v>
      </c>
      <c r="I91" s="10" t="s">
        <v>145</v>
      </c>
      <c r="J91" s="54">
        <v>4.5937590683754715E-4</v>
      </c>
      <c r="L91" s="55">
        <v>4328</v>
      </c>
      <c r="O91" s="10" t="s">
        <v>145</v>
      </c>
      <c r="P91" s="54">
        <v>9.7433713194255435E-4</v>
      </c>
      <c r="R91" s="55">
        <v>16045</v>
      </c>
    </row>
    <row r="92" spans="1:18" x14ac:dyDescent="0.3">
      <c r="C92" s="10" t="s">
        <v>146</v>
      </c>
      <c r="D92" s="54">
        <v>1.0118190921706411E-3</v>
      </c>
      <c r="F92" s="55">
        <v>39769</v>
      </c>
      <c r="I92" s="10" t="s">
        <v>146</v>
      </c>
      <c r="J92" s="54">
        <v>1.1838906804219041E-3</v>
      </c>
      <c r="L92" s="55">
        <v>11154</v>
      </c>
      <c r="O92" s="10" t="s">
        <v>146</v>
      </c>
      <c r="P92" s="54">
        <v>1.3508945987656007E-3</v>
      </c>
      <c r="R92" s="55">
        <v>22246</v>
      </c>
    </row>
    <row r="93" spans="1:18" x14ac:dyDescent="0.3">
      <c r="B93" s="32" t="s">
        <v>147</v>
      </c>
      <c r="C93" s="32"/>
      <c r="D93" s="52">
        <v>6.715907562340831E-2</v>
      </c>
      <c r="E93" s="32"/>
      <c r="F93" s="53">
        <v>2639651</v>
      </c>
      <c r="G93" s="32"/>
      <c r="H93" s="32" t="s">
        <v>147</v>
      </c>
      <c r="I93" s="32"/>
      <c r="J93" s="52">
        <v>1.6807766254933673E-2</v>
      </c>
      <c r="K93" s="32"/>
      <c r="L93" s="53">
        <v>158354</v>
      </c>
      <c r="M93" s="32"/>
      <c r="N93" s="32" t="s">
        <v>147</v>
      </c>
      <c r="O93" s="32"/>
      <c r="P93" s="52">
        <v>3.658764971666191E-2</v>
      </c>
      <c r="Q93" s="32"/>
      <c r="R93" s="53">
        <v>602511</v>
      </c>
    </row>
    <row r="94" spans="1:18" x14ac:dyDescent="0.3">
      <c r="C94" s="10" t="s">
        <v>148</v>
      </c>
      <c r="D94" s="54">
        <v>4.1000439212275598E-3</v>
      </c>
      <c r="F94" s="55">
        <v>161150</v>
      </c>
      <c r="I94" s="10" t="s">
        <v>148</v>
      </c>
      <c r="J94" s="54">
        <v>3.1704155123007239E-4</v>
      </c>
      <c r="L94" s="55">
        <v>2987</v>
      </c>
      <c r="O94" s="10" t="s">
        <v>148</v>
      </c>
      <c r="P94" s="54">
        <v>7.8127324639659223E-3</v>
      </c>
      <c r="R94" s="55">
        <v>128657</v>
      </c>
    </row>
    <row r="95" spans="1:18" x14ac:dyDescent="0.3">
      <c r="C95" s="10" t="s">
        <v>149</v>
      </c>
      <c r="D95" s="54">
        <v>5.2792104467948762E-2</v>
      </c>
      <c r="F95" s="55">
        <v>2074965</v>
      </c>
      <c r="I95" s="10" t="s">
        <v>149</v>
      </c>
      <c r="J95" s="54">
        <v>1.107044988058137E-2</v>
      </c>
      <c r="L95" s="55">
        <v>104300</v>
      </c>
      <c r="O95" s="10" t="s">
        <v>149</v>
      </c>
      <c r="P95" s="54">
        <v>1.4641472476327161E-2</v>
      </c>
      <c r="R95" s="55">
        <v>241110</v>
      </c>
    </row>
    <row r="96" spans="1:18" x14ac:dyDescent="0.3">
      <c r="C96" s="10" t="s">
        <v>150</v>
      </c>
      <c r="D96" s="54">
        <v>6.7523894300333424E-3</v>
      </c>
      <c r="F96" s="55">
        <v>265399</v>
      </c>
      <c r="I96" s="10" t="s">
        <v>150</v>
      </c>
      <c r="J96" s="54">
        <v>4.4673457816278928E-3</v>
      </c>
      <c r="L96" s="55">
        <v>42089</v>
      </c>
      <c r="O96" s="10" t="s">
        <v>150</v>
      </c>
      <c r="P96" s="54">
        <v>6.3338289730759893E-3</v>
      </c>
      <c r="R96" s="55">
        <v>104303</v>
      </c>
    </row>
    <row r="97" spans="1:18" x14ac:dyDescent="0.3">
      <c r="C97" s="10" t="s">
        <v>151</v>
      </c>
      <c r="D97" s="54">
        <v>3.5145378041986433E-3</v>
      </c>
      <c r="F97" s="55">
        <v>138137</v>
      </c>
      <c r="I97" s="10" t="s">
        <v>151</v>
      </c>
      <c r="J97" s="54">
        <v>9.5292904149433882E-4</v>
      </c>
      <c r="L97" s="55">
        <v>8978</v>
      </c>
      <c r="O97" s="10" t="s">
        <v>151</v>
      </c>
      <c r="P97" s="54">
        <v>7.7996158032928404E-3</v>
      </c>
      <c r="R97" s="55">
        <v>128441</v>
      </c>
    </row>
    <row r="98" spans="1:18" x14ac:dyDescent="0.3">
      <c r="B98" s="32" t="s">
        <v>152</v>
      </c>
      <c r="C98" s="32"/>
      <c r="D98" s="52">
        <v>9.8394413641180692E-2</v>
      </c>
      <c r="E98" s="32"/>
      <c r="F98" s="53">
        <v>3867339</v>
      </c>
      <c r="G98" s="32"/>
      <c r="H98" s="32" t="s">
        <v>152</v>
      </c>
      <c r="I98" s="32"/>
      <c r="J98" s="52">
        <v>0.20703800401593042</v>
      </c>
      <c r="K98" s="32"/>
      <c r="L98" s="53">
        <v>1950604</v>
      </c>
      <c r="M98" s="32"/>
      <c r="N98" s="32" t="s">
        <v>152</v>
      </c>
      <c r="O98" s="32"/>
      <c r="P98" s="52">
        <v>8.8046252746149009E-2</v>
      </c>
      <c r="Q98" s="32"/>
      <c r="R98" s="53">
        <v>1449911</v>
      </c>
    </row>
    <row r="99" spans="1:18" x14ac:dyDescent="0.3">
      <c r="A99" s="41">
        <v>1</v>
      </c>
      <c r="C99" s="10" t="s">
        <v>153</v>
      </c>
      <c r="D99" s="54">
        <v>1.1066327668640734E-2</v>
      </c>
      <c r="F99" s="55">
        <v>434956</v>
      </c>
      <c r="I99" s="10" t="s">
        <v>153</v>
      </c>
      <c r="J99" s="54">
        <v>1.8636778645558585E-2</v>
      </c>
      <c r="L99" s="55">
        <v>175586</v>
      </c>
      <c r="O99" s="10" t="s">
        <v>153</v>
      </c>
      <c r="P99" s="54">
        <v>1.2492708411896666E-2</v>
      </c>
      <c r="R99" s="55">
        <v>205725</v>
      </c>
    </row>
    <row r="100" spans="1:18" x14ac:dyDescent="0.3">
      <c r="A100" s="41">
        <v>1</v>
      </c>
      <c r="C100" s="10" t="s">
        <v>154</v>
      </c>
      <c r="D100" s="54">
        <v>1.6396944499195092E-2</v>
      </c>
      <c r="F100" s="55">
        <v>644473</v>
      </c>
      <c r="I100" s="10" t="s">
        <v>154</v>
      </c>
      <c r="J100" s="54">
        <v>3.6172031606930465E-2</v>
      </c>
      <c r="L100" s="55">
        <v>340794</v>
      </c>
      <c r="O100" s="10" t="s">
        <v>154</v>
      </c>
      <c r="P100" s="54">
        <v>1.4282768242086919E-2</v>
      </c>
      <c r="R100" s="55">
        <v>235203</v>
      </c>
    </row>
    <row r="101" spans="1:18" x14ac:dyDescent="0.3">
      <c r="A101" s="41">
        <v>1</v>
      </c>
      <c r="C101" s="10" t="s">
        <v>155</v>
      </c>
      <c r="D101" s="54">
        <v>3.0539030217361864E-3</v>
      </c>
      <c r="F101" s="55">
        <v>120032</v>
      </c>
      <c r="I101" s="10" t="s">
        <v>155</v>
      </c>
      <c r="J101" s="54">
        <v>6.0416210704944597E-3</v>
      </c>
      <c r="L101" s="55">
        <v>56921</v>
      </c>
      <c r="O101" s="10" t="s">
        <v>155</v>
      </c>
      <c r="P101" s="54">
        <v>2.84097154134001E-3</v>
      </c>
      <c r="R101" s="55">
        <v>46784</v>
      </c>
    </row>
    <row r="102" spans="1:18" x14ac:dyDescent="0.3">
      <c r="C102" s="10" t="s">
        <v>156</v>
      </c>
      <c r="D102" s="54">
        <v>5.0630390339701169E-5</v>
      </c>
      <c r="F102" s="55">
        <v>1990</v>
      </c>
      <c r="I102" s="10" t="s">
        <v>156</v>
      </c>
      <c r="J102" s="54">
        <v>1.9529844468139712E-4</v>
      </c>
      <c r="L102" s="55">
        <v>1840</v>
      </c>
      <c r="O102" s="10" t="s">
        <v>156</v>
      </c>
      <c r="P102" s="54">
        <v>0</v>
      </c>
      <c r="R102" s="55">
        <v>0</v>
      </c>
    </row>
    <row r="103" spans="1:18" x14ac:dyDescent="0.3">
      <c r="C103" s="10" t="s">
        <v>157</v>
      </c>
      <c r="D103" s="54">
        <v>2.277988473419185E-2</v>
      </c>
      <c r="F103" s="55">
        <v>895351</v>
      </c>
      <c r="I103" s="10" t="s">
        <v>157</v>
      </c>
      <c r="J103" s="54">
        <v>6.2738457808849096E-2</v>
      </c>
      <c r="L103" s="55">
        <v>591089</v>
      </c>
      <c r="O103" s="10" t="s">
        <v>157</v>
      </c>
      <c r="P103" s="54">
        <v>1.2132546770914972E-2</v>
      </c>
      <c r="R103" s="55">
        <v>199794</v>
      </c>
    </row>
    <row r="104" spans="1:18" x14ac:dyDescent="0.3">
      <c r="A104" s="41">
        <v>1</v>
      </c>
      <c r="C104" s="10" t="s">
        <v>158</v>
      </c>
      <c r="D104" s="54">
        <v>3.7531112565681798E-3</v>
      </c>
      <c r="F104" s="55">
        <v>147514</v>
      </c>
      <c r="I104" s="10" t="s">
        <v>158</v>
      </c>
      <c r="J104" s="54">
        <v>2.5268859089837073E-3</v>
      </c>
      <c r="L104" s="55">
        <v>23807</v>
      </c>
      <c r="O104" s="10" t="s">
        <v>158</v>
      </c>
      <c r="P104" s="54">
        <v>5.9182251506381678E-3</v>
      </c>
      <c r="R104" s="55">
        <v>97459</v>
      </c>
    </row>
    <row r="105" spans="1:18" x14ac:dyDescent="0.3">
      <c r="C105" s="10" t="s">
        <v>159</v>
      </c>
      <c r="D105" s="54">
        <v>3.1170154570510922E-2</v>
      </c>
      <c r="F105" s="55">
        <v>1225126</v>
      </c>
      <c r="I105" s="10" t="s">
        <v>159</v>
      </c>
      <c r="J105" s="54">
        <v>6.8985142246259026E-2</v>
      </c>
      <c r="L105" s="55">
        <v>649942</v>
      </c>
      <c r="O105" s="10" t="s">
        <v>159</v>
      </c>
      <c r="P105" s="54">
        <v>2.5618660052954875E-2</v>
      </c>
      <c r="R105" s="55">
        <v>421878</v>
      </c>
    </row>
    <row r="106" spans="1:18" x14ac:dyDescent="0.3">
      <c r="C106" s="10" t="s">
        <v>160</v>
      </c>
      <c r="D106" s="54">
        <v>0</v>
      </c>
      <c r="F106" s="55">
        <v>0</v>
      </c>
      <c r="I106" s="10" t="s">
        <v>160</v>
      </c>
      <c r="J106" s="54">
        <v>0</v>
      </c>
      <c r="L106" s="55">
        <v>0</v>
      </c>
      <c r="O106" s="10" t="s">
        <v>160</v>
      </c>
      <c r="P106" s="54">
        <v>0</v>
      </c>
      <c r="R106" s="55">
        <v>0</v>
      </c>
    </row>
    <row r="107" spans="1:18" x14ac:dyDescent="0.3">
      <c r="C107" s="10" t="s">
        <v>161</v>
      </c>
      <c r="D107" s="54">
        <v>1.0123406615183617E-2</v>
      </c>
      <c r="F107" s="55">
        <v>397895</v>
      </c>
      <c r="I107" s="10" t="s">
        <v>161</v>
      </c>
      <c r="J107" s="54">
        <v>1.1741682143714606E-2</v>
      </c>
      <c r="L107" s="55">
        <v>110624</v>
      </c>
      <c r="O107" s="10" t="s">
        <v>161</v>
      </c>
      <c r="P107" s="54">
        <v>1.4760372576317408E-2</v>
      </c>
      <c r="R107" s="55">
        <v>243068</v>
      </c>
    </row>
    <row r="108" spans="1:18" x14ac:dyDescent="0.3">
      <c r="B108" s="342" t="s">
        <v>5</v>
      </c>
      <c r="C108" s="342"/>
      <c r="D108" s="52">
        <f>SUM(D4,D19,D28,D36,D54,D58,D77,D85,D93,D98)</f>
        <v>0.99999997455759282</v>
      </c>
      <c r="E108" s="32"/>
      <c r="F108" s="53">
        <v>39304457</v>
      </c>
      <c r="G108" s="32"/>
      <c r="H108" s="32" t="s">
        <v>5</v>
      </c>
      <c r="I108" s="32"/>
      <c r="J108" s="52">
        <f>SUM(J4,J19,J28,J36,J54,J58,J77,J85,J93,J98)</f>
        <v>0.99999999999999989</v>
      </c>
      <c r="K108" s="32"/>
      <c r="L108" s="53">
        <v>9421478</v>
      </c>
      <c r="M108" s="32"/>
      <c r="N108" s="32" t="s">
        <v>5</v>
      </c>
      <c r="O108" s="32"/>
      <c r="P108" s="52">
        <f>SUM(J4,J19,J28,J36,J54,J58,J77,J85,J93,J98)</f>
        <v>0.99999999999999989</v>
      </c>
      <c r="Q108" s="32"/>
      <c r="R108" s="53">
        <v>16467606</v>
      </c>
    </row>
    <row r="109" spans="1:18" x14ac:dyDescent="0.3">
      <c r="B109" s="342"/>
      <c r="C109" s="342"/>
      <c r="D109" s="54">
        <f>SUM(D5:D18,D20:D27,D29:D35,D37:D53,D55:D57,D59:D76,D78:D84,D86:D92,D94:D97,D99:D107)</f>
        <v>0.99999989823037083</v>
      </c>
      <c r="F109" s="55">
        <f>SUM(F4,F19,F28,F36,F54,F58,F77,F85,F93,F98)</f>
        <v>39304456</v>
      </c>
      <c r="J109" s="54">
        <f>SUM(J5:J18,J20:J27,J29:J35,J37:J53,J55:J57,J59:J76,J78:J84,J86:J92,J94:J97,J99:J107)</f>
        <v>0.99999999999999967</v>
      </c>
      <c r="L109" s="55">
        <f>SUM(L4,L19,L28,L36,L54,L58,L77,L85,L93,L98)</f>
        <v>9421478</v>
      </c>
      <c r="P109" s="54">
        <f>SUM(J5:J18,J20:J27,J29:J35,J37:J53,J55:J57,J59:J76,J78:J84,J86:J92,J94:J97,J99:J107)</f>
        <v>0.99999999999999967</v>
      </c>
      <c r="R109" s="55">
        <f>SUM(R4,R19,R28,R36,R54,R58,R77,R85,R93,R98)</f>
        <v>16467605</v>
      </c>
    </row>
    <row r="110" spans="1:18" x14ac:dyDescent="0.3">
      <c r="F110" s="55">
        <f>SUM(F5:F18,F20:F27,F29:F35,F37:F53,F55:F57,F59:F76,F78:F84,F86:F92,F94:F97,F99:F107)</f>
        <v>39304453</v>
      </c>
      <c r="L110" s="55">
        <f>SUM(L5:L18,L20:L27,L29:L35,L37:L53,L55:L57,L59:L76,L78:L84,L86:L92,L94:L97,L99:L107)</f>
        <v>9421478</v>
      </c>
      <c r="R110" s="55">
        <f>SUM(R5:R18,R20:R27,R29:R35,R37:R53,R55:R57,R59:R76,R78:R84,R86:R92,R94:R97,R99:R107)</f>
        <v>16467604</v>
      </c>
    </row>
    <row r="111" spans="1:18" x14ac:dyDescent="0.3">
      <c r="C111" s="10" t="s">
        <v>162</v>
      </c>
      <c r="D111" s="10">
        <v>892</v>
      </c>
      <c r="I111" s="10" t="s">
        <v>162</v>
      </c>
      <c r="J111" s="10">
        <v>122</v>
      </c>
      <c r="O111" s="10" t="s">
        <v>162</v>
      </c>
      <c r="P111" s="10">
        <v>281</v>
      </c>
    </row>
  </sheetData>
  <mergeCells count="1">
    <mergeCell ref="B108:C10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74864A2E57DD4F8DFA48A4BE218827" ma:contentTypeVersion="13" ma:contentTypeDescription="Create a new document." ma:contentTypeScope="" ma:versionID="aa4510d59dda02d5af8c7d59c66f44d9">
  <xsd:schema xmlns:xsd="http://www.w3.org/2001/XMLSchema" xmlns:xs="http://www.w3.org/2001/XMLSchema" xmlns:p="http://schemas.microsoft.com/office/2006/metadata/properties" xmlns:ns3="1338b26c-0771-4818-8a32-7a194a18fa51" xmlns:ns4="94b4a6bc-44aa-49a6-a5bf-7b43cf887cc5" targetNamespace="http://schemas.microsoft.com/office/2006/metadata/properties" ma:root="true" ma:fieldsID="dd7a99ff5830ef5c240f5b58d092525e" ns3:_="" ns4:_="">
    <xsd:import namespace="1338b26c-0771-4818-8a32-7a194a18fa51"/>
    <xsd:import namespace="94b4a6bc-44aa-49a6-a5bf-7b43cf887cc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8b26c-0771-4818-8a32-7a194a18fa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4a6bc-44aa-49a6-a5bf-7b43cf887c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45171-92CC-4E0A-8A2C-5828647C315D}">
  <ds:schemaRefs>
    <ds:schemaRef ds:uri="http://purl.org/dc/elements/1.1/"/>
    <ds:schemaRef ds:uri="http://schemas.microsoft.com/office/infopath/2007/PartnerControls"/>
    <ds:schemaRef ds:uri="1338b26c-0771-4818-8a32-7a194a18fa51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4b4a6bc-44aa-49a6-a5bf-7b43cf887c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C7F638-0A83-4CD8-A563-1C5DE5479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38b26c-0771-4818-8a32-7a194a18fa51"/>
    <ds:schemaRef ds:uri="94b4a6bc-44aa-49a6-a5bf-7b43cf887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85B915-A653-401F-85E1-F0010316E2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Waste by Jurisdiction</vt:lpstr>
      <vt:lpstr>Org Projections by City</vt:lpstr>
      <vt:lpstr>Projected Capacity Needs</vt:lpstr>
      <vt:lpstr>Summary</vt:lpstr>
      <vt:lpstr>Santa Clara County Pop.</vt:lpstr>
      <vt:lpstr>CalRecycle 2018- Edited</vt:lpstr>
      <vt:lpstr>CalRecycle 2018- 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Abraham, Reka</dc:creator>
  <cp:lastModifiedBy>Bills, Tracie</cp:lastModifiedBy>
  <dcterms:created xsi:type="dcterms:W3CDTF">2022-05-16T20:55:33Z</dcterms:created>
  <dcterms:modified xsi:type="dcterms:W3CDTF">2022-07-26T04:18:09Z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0x010100BA74864A2E57DD4F8DFA48A4BE218827</vt:lpwstr>
  </property>
</Properties>
</file>